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Tests\"/>
    </mc:Choice>
  </mc:AlternateContent>
  <xr:revisionPtr revIDLastSave="0" documentId="13_ncr:1_{FFC707DF-3A22-4ADA-8CE4-68B86B2A6026}" xr6:coauthVersionLast="47" xr6:coauthVersionMax="47" xr10:uidLastSave="{00000000-0000-0000-0000-000000000000}"/>
  <bookViews>
    <workbookView xWindow="952" yWindow="-98" windowWidth="22186" windowHeight="14595" xr2:uid="{DA3DA52D-85F5-4642-B9AD-DC39C9608E37}"/>
  </bookViews>
  <sheets>
    <sheet name="Solution" sheetId="1" r:id="rId1"/>
    <sheet name="Test-2022-10-04" sheetId="2" r:id="rId2"/>
  </sheets>
  <definedNames>
    <definedName name="A">Solution!$B$4</definedName>
    <definedName name="B">Solution!$C$4</definedName>
    <definedName name="CC">Solution!$D$4</definedName>
    <definedName name="D">Solution!$E$4</definedName>
    <definedName name="E">Solution!$F$4</definedName>
    <definedName name="F">Solution!$G$4</definedName>
    <definedName name="SPL">Solution!$B$49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0" i="2" l="1"/>
  <c r="AT10" i="2"/>
  <c r="AT9" i="2"/>
  <c r="AT8" i="2"/>
  <c r="AT7" i="2"/>
  <c r="AT6" i="2"/>
  <c r="AT5" i="2"/>
  <c r="AT4" i="2"/>
  <c r="AT3" i="2"/>
  <c r="AT2" i="2"/>
  <c r="AX3" i="2"/>
  <c r="AX4" i="2"/>
  <c r="AX5" i="2"/>
  <c r="AX6" i="2"/>
  <c r="AX7" i="2"/>
  <c r="AX8" i="2"/>
  <c r="AX9" i="2"/>
  <c r="AX2" i="2"/>
  <c r="AS3" i="2"/>
  <c r="AU3" i="2"/>
  <c r="AV3" i="2"/>
  <c r="AS4" i="2"/>
  <c r="AU4" i="2"/>
  <c r="AV4" i="2"/>
  <c r="AS5" i="2"/>
  <c r="AU5" i="2"/>
  <c r="AV5" i="2"/>
  <c r="AS6" i="2"/>
  <c r="AU6" i="2"/>
  <c r="AV6" i="2"/>
  <c r="AS7" i="2"/>
  <c r="AU7" i="2"/>
  <c r="AV7" i="2"/>
  <c r="AS8" i="2"/>
  <c r="AU8" i="2"/>
  <c r="AV8" i="2"/>
  <c r="AS9" i="2"/>
  <c r="AU9" i="2"/>
  <c r="AV9" i="2"/>
  <c r="AS10" i="2"/>
  <c r="AU10" i="2"/>
  <c r="AV10" i="2"/>
  <c r="AV2" i="2"/>
  <c r="AU2" i="2"/>
  <c r="AS2" i="2"/>
  <c r="V3" i="2"/>
  <c r="W3" i="2"/>
  <c r="X3" i="2"/>
  <c r="Y3" i="2"/>
  <c r="Z3" i="2"/>
  <c r="AA3" i="2"/>
  <c r="V4" i="2"/>
  <c r="W4" i="2"/>
  <c r="X4" i="2"/>
  <c r="Y4" i="2"/>
  <c r="Z4" i="2"/>
  <c r="AA4" i="2"/>
  <c r="V5" i="2"/>
  <c r="W5" i="2"/>
  <c r="X5" i="2"/>
  <c r="Y5" i="2"/>
  <c r="Z5" i="2"/>
  <c r="AA5" i="2"/>
  <c r="V6" i="2"/>
  <c r="W6" i="2"/>
  <c r="X6" i="2"/>
  <c r="Y6" i="2"/>
  <c r="Z6" i="2"/>
  <c r="AA6" i="2"/>
  <c r="V7" i="2"/>
  <c r="W7" i="2"/>
  <c r="X7" i="2"/>
  <c r="Y7" i="2"/>
  <c r="Z7" i="2"/>
  <c r="AA7" i="2"/>
  <c r="V8" i="2"/>
  <c r="W8" i="2"/>
  <c r="X8" i="2"/>
  <c r="Y8" i="2"/>
  <c r="Z8" i="2"/>
  <c r="AA8" i="2"/>
  <c r="V9" i="2"/>
  <c r="W9" i="2"/>
  <c r="X9" i="2"/>
  <c r="Y9" i="2"/>
  <c r="Z9" i="2"/>
  <c r="AA9" i="2"/>
  <c r="V10" i="2"/>
  <c r="W10" i="2"/>
  <c r="X10" i="2"/>
  <c r="Y10" i="2"/>
  <c r="Z10" i="2"/>
  <c r="AA10" i="2"/>
  <c r="AA2" i="2"/>
  <c r="Z2" i="2"/>
  <c r="Y2" i="2"/>
  <c r="X2" i="2"/>
  <c r="W2" i="2"/>
  <c r="V2" i="2"/>
  <c r="M3" i="2"/>
  <c r="N3" i="2"/>
  <c r="O3" i="2"/>
  <c r="P3" i="2"/>
  <c r="Q3" i="2"/>
  <c r="R3" i="2"/>
  <c r="M4" i="2"/>
  <c r="N4" i="2"/>
  <c r="O4" i="2"/>
  <c r="P4" i="2"/>
  <c r="Q4" i="2"/>
  <c r="R4" i="2"/>
  <c r="M5" i="2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M9" i="2"/>
  <c r="N9" i="2"/>
  <c r="O9" i="2"/>
  <c r="P9" i="2"/>
  <c r="Q9" i="2"/>
  <c r="R9" i="2"/>
  <c r="M10" i="2"/>
  <c r="N10" i="2"/>
  <c r="O10" i="2"/>
  <c r="P10" i="2"/>
  <c r="Q10" i="2"/>
  <c r="R10" i="2"/>
  <c r="R2" i="2"/>
  <c r="Q2" i="2"/>
  <c r="P2" i="2"/>
  <c r="O2" i="2"/>
  <c r="N2" i="2"/>
  <c r="M2" i="2"/>
  <c r="F3" i="2"/>
  <c r="G3" i="2" s="1"/>
  <c r="F4" i="2"/>
  <c r="F5" i="2"/>
  <c r="F6" i="2"/>
  <c r="G6" i="2" s="1"/>
  <c r="F7" i="2"/>
  <c r="G7" i="2" s="1"/>
  <c r="H7" i="2" s="1"/>
  <c r="F8" i="2"/>
  <c r="F9" i="2"/>
  <c r="G9" i="2" s="1"/>
  <c r="H9" i="2" s="1"/>
  <c r="F10" i="2"/>
  <c r="F2" i="2"/>
  <c r="E40" i="1"/>
  <c r="B40" i="1"/>
  <c r="B49" i="1"/>
  <c r="B51" i="1" s="1"/>
  <c r="G45" i="1"/>
  <c r="G46" i="1" s="1"/>
  <c r="F45" i="1"/>
  <c r="F46" i="1" s="1"/>
  <c r="E45" i="1"/>
  <c r="E46" i="1" s="1"/>
  <c r="D45" i="1"/>
  <c r="D46" i="1" s="1"/>
  <c r="C45" i="1"/>
  <c r="C46" i="1" s="1"/>
  <c r="B45" i="1"/>
  <c r="B46" i="1" s="1"/>
  <c r="B36" i="1"/>
  <c r="H36" i="1" s="1"/>
  <c r="E33" i="1"/>
  <c r="B33" i="1"/>
  <c r="H40" i="1" l="1"/>
  <c r="E51" i="1"/>
  <c r="E52" i="1"/>
  <c r="H33" i="1"/>
  <c r="B52" i="1"/>
  <c r="I7" i="2"/>
  <c r="G8" i="2"/>
  <c r="G10" i="2"/>
  <c r="I9" i="2"/>
  <c r="G4" i="2"/>
  <c r="H4" i="2" s="1"/>
  <c r="H6" i="2"/>
  <c r="I6" i="2" s="1"/>
  <c r="G5" i="2"/>
  <c r="H5" i="2" s="1"/>
  <c r="H3" i="2"/>
  <c r="G2" i="2"/>
  <c r="H2" i="2" s="1"/>
  <c r="H45" i="1"/>
  <c r="AO7" i="2" l="1"/>
  <c r="J9" i="2"/>
  <c r="J7" i="2"/>
  <c r="AC7" i="2" s="1"/>
  <c r="K9" i="2"/>
  <c r="AG9" i="2" s="1"/>
  <c r="I4" i="2"/>
  <c r="H10" i="2"/>
  <c r="I5" i="2"/>
  <c r="I3" i="2"/>
  <c r="K7" i="2"/>
  <c r="AG7" i="2" s="1"/>
  <c r="H8" i="2"/>
  <c r="J6" i="2"/>
  <c r="I2" i="2"/>
  <c r="AC9" i="2" l="1"/>
  <c r="AO9" i="2"/>
  <c r="J2" i="2"/>
  <c r="J3" i="2"/>
  <c r="AC3" i="2" s="1"/>
  <c r="J4" i="2"/>
  <c r="AO4" i="2" s="1"/>
  <c r="AK7" i="2"/>
  <c r="AK9" i="2"/>
  <c r="K4" i="2"/>
  <c r="AG4" i="2" s="1"/>
  <c r="AC4" i="2"/>
  <c r="K6" i="2"/>
  <c r="AO6" i="2" s="1"/>
  <c r="AC6" i="2"/>
  <c r="J5" i="2"/>
  <c r="I8" i="2"/>
  <c r="I10" i="2"/>
  <c r="K3" i="2" l="1"/>
  <c r="AG3" i="2" s="1"/>
  <c r="AC2" i="2"/>
  <c r="AG6" i="2"/>
  <c r="AK6" i="2"/>
  <c r="AK4" i="2"/>
  <c r="J8" i="2"/>
  <c r="AC8" i="2" s="1"/>
  <c r="AK3" i="2"/>
  <c r="K2" i="2"/>
  <c r="AO2" i="2" s="1"/>
  <c r="K5" i="2"/>
  <c r="AO5" i="2" s="1"/>
  <c r="AC5" i="2"/>
  <c r="J10" i="2"/>
  <c r="AO3" i="2" l="1"/>
  <c r="AG2" i="2"/>
  <c r="AK2" i="2"/>
  <c r="AG5" i="2"/>
  <c r="AK5" i="2"/>
  <c r="K8" i="2"/>
  <c r="AO8" i="2" s="1"/>
  <c r="K10" i="2"/>
  <c r="AO10" i="2" s="1"/>
  <c r="AC10" i="2"/>
  <c r="AG10" i="2" l="1"/>
  <c r="AK10" i="2"/>
  <c r="AG8" i="2"/>
  <c r="AK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Farina</author>
  </authors>
  <commentList>
    <comment ref="AC2" authorId="0" shapeId="0" xr:uid="{71EFB494-1653-4AB4-AAF3-7AD128A007F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" authorId="0" shapeId="0" xr:uid="{A6BD0E9D-78A2-430C-940B-E6B10D84C97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" authorId="0" shapeId="0" xr:uid="{37D42C7A-0DE7-4931-B310-C7130208BA2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" authorId="0" shapeId="0" xr:uid="{D6631399-11B9-4F33-A07D-A7BF0CEF76F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" authorId="0" shapeId="0" xr:uid="{916CC836-BBE4-457C-9BBE-AFC1E883A74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" authorId="0" shapeId="0" xr:uid="{7AD3199F-8E0E-4D24-922E-16DB28BCDE9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3" authorId="0" shapeId="0" xr:uid="{9455315B-99E8-4F14-81F5-A0D1504908E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" authorId="0" shapeId="0" xr:uid="{3DC9A495-E0F5-4044-B609-529AB58348CD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0" shapeId="0" xr:uid="{D8F982B4-A851-49CB-919F-DA802EC90D3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4" authorId="0" shapeId="0" xr:uid="{44066939-A4E4-43EE-8BC6-DCDF59045562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4" authorId="0" shapeId="0" xr:uid="{F35956FE-6365-48E8-945E-912F8DAE401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4" authorId="0" shapeId="0" xr:uid="{C0DB9E07-CF9F-4BEA-8770-6EFBBABB3D9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0" shapeId="0" xr:uid="{5834545D-1A20-495D-B2E5-3A4D9324BDA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5" authorId="0" shapeId="0" xr:uid="{779F79DB-7683-426A-977A-56653E463A0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5" authorId="0" shapeId="0" xr:uid="{77CF26D5-53FE-4112-8DE1-7A25E0FA5F34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5" authorId="0" shapeId="0" xr:uid="{500D92CB-98CF-4E7C-BA8F-E32A449FDE29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6" authorId="0" shapeId="0" xr:uid="{A1F28DE8-E627-46BA-95CD-CC983717D0E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6" authorId="0" shapeId="0" xr:uid="{EF16F3C9-7561-4C74-9210-0B3794B64523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6" authorId="0" shapeId="0" xr:uid="{28711685-C71C-451E-A3AE-E90D28D6BC4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6" authorId="0" shapeId="0" xr:uid="{6EB936C0-66DD-447B-A685-00780C3B5AF3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1BBA0BDA-BEFA-4DEA-95EC-4E3B4332C582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21648AD4-48BB-451E-B980-59CC049B288D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7" authorId="0" shapeId="0" xr:uid="{B41EF3C5-E1DF-400C-8056-3F7587C75C8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7" authorId="0" shapeId="0" xr:uid="{1D0AD21A-AEA9-46D1-BF78-25ABCB8BAE9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" authorId="0" shapeId="0" xr:uid="{F70A6E6E-0825-441C-8574-F7FB03BB33F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" authorId="0" shapeId="0" xr:uid="{5A98F961-3E8B-4279-BBD4-1D13F4A5952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8" authorId="0" shapeId="0" xr:uid="{490A2EE7-C71A-4480-B007-5478358443DC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8" authorId="0" shapeId="0" xr:uid="{7ACB682B-DCDC-4AB0-972B-091B652B968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9" authorId="0" shapeId="0" xr:uid="{2013C7E4-550F-45CC-AFDB-E90D5F7D936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9" authorId="0" shapeId="0" xr:uid="{CFACFBC4-2CC0-4478-8FB5-CB32216D4FA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9" authorId="0" shapeId="0" xr:uid="{E80C3425-4718-46E1-8B0A-CCE00571A3F3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9" authorId="0" shapeId="0" xr:uid="{C4B655B6-FD12-4EAC-8569-39C7316BEC1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0" authorId="0" shapeId="0" xr:uid="{6C833260-665E-4CEF-A9E9-E6E13E98D50B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0" authorId="0" shapeId="0" xr:uid="{7E08B92F-BC58-42BB-B939-592DD0D68EC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0" authorId="0" shapeId="0" xr:uid="{AFC6F22B-D917-4EA2-AF5D-3FF488811F9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0" authorId="0" shapeId="0" xr:uid="{CC71CD0D-F93B-4F0D-8415-920401185A3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<sst xmlns="http://schemas.openxmlformats.org/spreadsheetml/2006/main" count="244" uniqueCount="161">
  <si>
    <t>In-class test - Applied Acoustics - 04/10/2022</t>
  </si>
  <si>
    <r>
      <t xml:space="preserve">1. Check the sentences you think are always TRUE </t>
    </r>
    <r>
      <rPr>
        <i/>
        <sz val="11"/>
        <color rgb="FF000000"/>
        <rFont val="Calibri"/>
        <family val="2"/>
        <scheme val="minor"/>
      </rPr>
      <t>(multiple answers allowed)</t>
    </r>
  </si>
  <si>
    <t xml:space="preserve">2) What's the reason for employing an A-weighting filter when measuring the SPL? </t>
  </si>
  <si>
    <t>one answer only: 1 point if correct, -1 point if wrong, 0 point if "no answer"</t>
  </si>
  <si>
    <t xml:space="preserve">3) Which kind of signal is generated by a standard microphone calibrator? </t>
  </si>
  <si>
    <t>multiple answers allowed: for each answer, 1 point if correct, -1 point if wrong, 0 point if "not selected"</t>
  </si>
  <si>
    <t>4) Compute the (incoherent) sum of the sound pressure level </t>
  </si>
  <si>
    <r>
      <t xml:space="preserve">of 80+E and 80+D dB </t>
    </r>
    <r>
      <rPr>
        <sz val="11"/>
        <color rgb="FF000000"/>
        <rFont val="Calibri"/>
        <family val="2"/>
        <scheme val="minor"/>
      </rPr>
      <t>(write number and measurement unit)</t>
    </r>
  </si>
  <si>
    <r>
      <t xml:space="preserve">5) The SPL of a fan is 88+F dB at 63 Hz. Compute the SPL in dB(A) </t>
    </r>
    <r>
      <rPr>
        <sz val="11"/>
        <color rgb="FF000000"/>
        <rFont val="Calibri"/>
        <family val="2"/>
        <scheme val="minor"/>
      </rPr>
      <t>(write number and measurement unit)</t>
    </r>
  </si>
  <si>
    <t>6) A sound source is producing an SPL=50+F dB(A). A second sound source is switched on, and the total SPL becomes equal to = 63+D dB(A). Compute the SPL of the second source alone. </t>
  </si>
  <si>
    <t>(write number and measurement unit)</t>
  </si>
  <si>
    <t>7) The A-weighted octave-band spectrum of a fan is given here below (values in dBA). </t>
  </si>
  <si>
    <r>
      <t xml:space="preserve">    Compute the total wide-band SPL in dB(A) </t>
    </r>
    <r>
      <rPr>
        <sz val="11"/>
        <color rgb="FF000000"/>
        <rFont val="Calibri"/>
        <family val="2"/>
        <scheme val="minor"/>
      </rPr>
      <t>(write number and measurement unit)</t>
    </r>
  </si>
  <si>
    <t>125 Hz</t>
  </si>
  <si>
    <t>250 Hz</t>
  </si>
  <si>
    <t>500 Hz</t>
  </si>
  <si>
    <t>1000 Hz</t>
  </si>
  <si>
    <t>2000 Hz</t>
  </si>
  <si>
    <t>4000 Hz</t>
  </si>
  <si>
    <t>Total - dB(A)</t>
  </si>
  <si>
    <r>
      <t>8) A plane progressive wave is propagating in air, with a SPL=80+E dB. Compute the values of sound pressure, particle velocity, sound intensity, sound energy density</t>
    </r>
    <r>
      <rPr>
        <sz val="11"/>
        <color rgb="FF000000"/>
        <rFont val="Calibri"/>
        <family val="2"/>
        <scheme val="minor"/>
      </rPr>
      <t xml:space="preserve"> (write number and measurement unit for p, v, I, D)</t>
    </r>
  </si>
  <si>
    <t>Matricula</t>
  </si>
  <si>
    <t>A</t>
  </si>
  <si>
    <t>B</t>
  </si>
  <si>
    <t>C</t>
  </si>
  <si>
    <t>D</t>
  </si>
  <si>
    <t>E</t>
  </si>
  <si>
    <t>F</t>
  </si>
  <si>
    <t>P =</t>
  </si>
  <si>
    <t>v =</t>
  </si>
  <si>
    <t>I =</t>
  </si>
  <si>
    <t>D =</t>
  </si>
  <si>
    <t>Quantity</t>
  </si>
  <si>
    <t>value</t>
  </si>
  <si>
    <t>unit</t>
  </si>
  <si>
    <t>Lp1 =</t>
  </si>
  <si>
    <t>dB</t>
  </si>
  <si>
    <t>Lp2 =</t>
  </si>
  <si>
    <t>Lptot =</t>
  </si>
  <si>
    <t>SPLfan =</t>
  </si>
  <si>
    <t>dB(A)</t>
  </si>
  <si>
    <t>SPLfan,AW =</t>
  </si>
  <si>
    <t>f (Hz)</t>
  </si>
  <si>
    <t>SPL (dBA)</t>
  </si>
  <si>
    <t>SPL =</t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</si>
  <si>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source generates pressure on its vibrating surface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</si>
  <si>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Close to an hard wall there is a lot o sound pressure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</si>
  <si>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Close to an hard wall there is a lot of particle velocity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</si>
  <si>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The sound intensity level is always smaller or equal of the energy density level (Li ≤ Ld)</t>
    </r>
  </si>
  <si>
    <t>⃝ For removing unwanted low-frequency noise (wind on the microphone, etc.)</t>
  </si>
  <si>
    <t>⃝ For increasing the signal-to-noise ratio</t>
  </si>
  <si>
    <t>⃝ For measuring values which are more significant for describing the human perception than what would be measured without any weighting</t>
  </si>
  <si>
    <t>⃝ For complying to laws and regulations which mandate the usage of A-weighting even in cases where other weighting curves would be more significant for emulating the human perception</t>
  </si>
  <si>
    <t>⃝ Nowadays A-weighting is considered obsolete and no one is employing such an old filter anymore</t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</si>
  <si>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pressure having an RMS value of 1.0 Pa at 1 kHz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</si>
  <si>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pressure level of 94 dB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</si>
  <si>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pressure level of 94 dB(A)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</si>
  <si>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pressure level of 94 dB(C)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</si>
  <si>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particle velocity level of 94 dB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</si>
  <si>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intensity level of 94 dB</t>
    </r>
  </si>
  <si>
    <t>SPL_S1 =</t>
  </si>
  <si>
    <t>SPL_tot =</t>
  </si>
  <si>
    <t>SPL_S2 =</t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</si>
  <si>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A sound source generates particle velocity on its vibrating surface</t>
    </r>
  </si>
  <si>
    <r>
      <rPr>
        <sz val="11"/>
        <color rgb="FF000000"/>
        <rFont val="Wingdings"/>
        <charset val="2"/>
      </rPr>
      <t>¨</t>
    </r>
    <r>
      <rPr>
        <sz val="11"/>
        <color rgb="FF000000"/>
        <rFont val="Calibri"/>
        <family val="2"/>
      </rPr>
      <t xml:space="preserve"> The ratio between sound pressure and particle velocity is always equal to ρ⋅c</t>
    </r>
  </si>
  <si>
    <t>10^(Lpi/10)</t>
  </si>
  <si>
    <t>Lp=Lv=Li=Ld</t>
  </si>
  <si>
    <t>Pa</t>
  </si>
  <si>
    <t>mm/s</t>
  </si>
  <si>
    <t>W/m2</t>
  </si>
  <si>
    <t>J/m3</t>
  </si>
  <si>
    <t>p = 0.56 dB, I = 7.94x10^-4 dB, v = 1.4 x 10^-3 dB, D = 2,38 x 10^-6 dB</t>
  </si>
  <si>
    <t>82,9 dB(A)</t>
  </si>
  <si>
    <t>10log(10^(68/10)-10^(54/10)) = 67,8 dB(A)</t>
  </si>
  <si>
    <t>10log(10^(89/10)+10^(85/10)) = 90.46 dB</t>
  </si>
  <si>
    <t>A sound pressure having an RMS value of 1.0 Pa at 1 kHz, A sound pressure level of 94 dB</t>
  </si>
  <si>
    <t>For measuring values which are more significant for describing the human perception than what would be measured without any weighting</t>
  </si>
  <si>
    <t>A sound source generates pressure on its vibrating surface, Close to an hard wall there is a lot o sound pressure, The sound intensity level is always smaller or equal of the energy density level (Li ≤ Ld)</t>
  </si>
  <si>
    <t>Delvecchio Leonardo</t>
  </si>
  <si>
    <t>leonardo.delvecchio@studenti.unipr.it</t>
  </si>
  <si>
    <t>p = 0,2 Pa ; v = 0,0005 m/s ; I = 0,0001 w/mm^2</t>
  </si>
  <si>
    <t>SPL = 71,77 dB(A)</t>
  </si>
  <si>
    <t>SPLsource = 64,86 dB(A)</t>
  </si>
  <si>
    <t>SPL = 61,8 dB(A)</t>
  </si>
  <si>
    <t>Lpt = 84,12 dB</t>
  </si>
  <si>
    <t>A sound source generates particle velocity on its vibrating surface, Close to an hard wall there is a lot o sound pressure, The ratio between sound pressure and particle velocity is always equal to ρ⋅c</t>
  </si>
  <si>
    <t>020200</t>
  </si>
  <si>
    <t>Sarah FERRO MILON</t>
  </si>
  <si>
    <t>sarah.ferro-milon@student.junia.com</t>
  </si>
  <si>
    <t>p=0,20 Pa ; v=5*10^(-4) m/s ; I=10^(-4) W/m^2 ; D=2,99*10^(-7) J/m^3</t>
  </si>
  <si>
    <t>78,7 dB(A)</t>
  </si>
  <si>
    <t>64,9 dB(A)</t>
  </si>
  <si>
    <t>61,8 dB(A)</t>
  </si>
  <si>
    <t>84,12 dB</t>
  </si>
  <si>
    <t>Juliette CHEVIGNARD</t>
  </si>
  <si>
    <t>juliette.chevignard@orange.fr</t>
  </si>
  <si>
    <t>66.9 70.4 71.8 75 80.2 74 dB(A)</t>
  </si>
  <si>
    <t>67.86 dB(A)</t>
  </si>
  <si>
    <t>64.8 dB(A)</t>
  </si>
  <si>
    <t>90.45 dB</t>
  </si>
  <si>
    <t>A sound source generates pressure on its vibrating surface, Close to an hard wall there is a lot o sound pressure, The ratio between sound pressure and particle velocity is always equal to ρ⋅c, The sound intensity level is always smaller or equal of the energy density level (Li ≤ Ld)</t>
  </si>
  <si>
    <t>Misiano Salvatore</t>
  </si>
  <si>
    <t>salvatore.misiano@unipr.it</t>
  </si>
  <si>
    <t>79,9 dB(A)</t>
  </si>
  <si>
    <t>68 dB(A)</t>
  </si>
  <si>
    <t>86,2 dB</t>
  </si>
  <si>
    <t>A sound pressure level of 94 dB, A sound intensity level of 94 dB</t>
  </si>
  <si>
    <t>080500</t>
  </si>
  <si>
    <t>Hugues du Peloux</t>
  </si>
  <si>
    <t>hugues.dplx@gmail.com</t>
  </si>
  <si>
    <t>p=0,2 Pa ; v=0,0005 m/s ; I=0,0001 W/m^2 ; D=3*10^-7 J/m^3</t>
  </si>
  <si>
    <t>86,4 dB(A)</t>
  </si>
  <si>
    <t>70,8 dB(A)</t>
  </si>
  <si>
    <t>69,8 dB(A)</t>
  </si>
  <si>
    <t>88,6 dB</t>
  </si>
  <si>
    <t>A sound pressure having an RMS value of 1.0 Pa at 1 kHz, A sound pressure level of 94 dB, A sound pressure level of 94 dB(A)</t>
  </si>
  <si>
    <t>A sound source generates particle velocity on its vibrating surface, Close to an hard wall there is a lot o sound pressure</t>
  </si>
  <si>
    <t>Godi Pietro</t>
  </si>
  <si>
    <t>pietro.godi@studenti.unipr.it</t>
  </si>
  <si>
    <t>p=3990.5 Pa; v=9.98 m/s; I=2*10^-4 W/m^2; D=6*10^-7 J/m^-3</t>
  </si>
  <si>
    <t>76.4 dBA</t>
  </si>
  <si>
    <t>68.7 dBA</t>
  </si>
  <si>
    <t>58.8 dBA</t>
  </si>
  <si>
    <t>90 dB</t>
  </si>
  <si>
    <t>A sound source generates pressure on its vibrating surface, Close to an hard wall there is a lot o sound pressure, The ratio between sound pressure and particle velocity is always equal to ρ⋅c</t>
  </si>
  <si>
    <t>Volpi Filippo</t>
  </si>
  <si>
    <t>filippo.volpi@studenti.unipr.it</t>
  </si>
  <si>
    <t>p = 0.2 Pa ; v = 0.0005m/s ; I = 10^-8 W/m^2 ; D = 3*10^-11 J/m^3</t>
  </si>
  <si>
    <t>86.5 dB(A)</t>
  </si>
  <si>
    <t>69.8 dB(A)</t>
  </si>
  <si>
    <t>67.8 dB(A)</t>
  </si>
  <si>
    <t>87.8 dB</t>
  </si>
  <si>
    <t>Tunnera Nicola</t>
  </si>
  <si>
    <t>nicola.tunnera@studenti.unipr.it</t>
  </si>
  <si>
    <t>p = 0.45 Pa ; v = 1.12 mm/s ; I = 2.24*10^-8 W/m^2 ; D = 6.72*10^-11 J/m^3</t>
  </si>
  <si>
    <t>86.6 dB(A)</t>
  </si>
  <si>
    <t>72 dB</t>
  </si>
  <si>
    <t>62.8 dB(A)</t>
  </si>
  <si>
    <t>91.1  dB</t>
  </si>
  <si>
    <t>Florian BAYLE</t>
  </si>
  <si>
    <t>florian.bayle@studenti.unipr.it</t>
  </si>
  <si>
    <t>8) A plane progressive wave is propagating in air, with a SPL=80+E dB. Compute the values of sound pressure, particle velocity, sound intensity, sound energy density.</t>
  </si>
  <si>
    <t>7) The A-weighted octave-band spectrum of a fan is given here below (values in dBA). Compute the total wide-band SPL in dB(A).</t>
  </si>
  <si>
    <t xml:space="preserve">6) A sound source is producing an SPL=50+F dB(A). A second sound source is switched on, and the total SPL becomes equal to = 63+D dB(A). Compute the SPL of the second source alone. </t>
  </si>
  <si>
    <t>5) The SPL of a fan is 88+F dB at 63 Hz. Compute the SPL in dB(A)</t>
  </si>
  <si>
    <t>4) Compute the (incoherent) sum of the sound pressure level of 80+E and 80+D dB</t>
  </si>
  <si>
    <t xml:space="preserve">3) Which kind of signal is generated by a standard microphone calibrator?	</t>
  </si>
  <si>
    <t>2) What's the reason for employing an A-weighting filter when measuring the SPL?</t>
  </si>
  <si>
    <t>1) Check the sentences you think are TRUE</t>
  </si>
  <si>
    <t>Surname and Name</t>
  </si>
  <si>
    <t>Email address</t>
  </si>
  <si>
    <t>Timestamp</t>
  </si>
  <si>
    <t>N.</t>
  </si>
  <si>
    <t>Score</t>
  </si>
  <si>
    <t>OK Value</t>
  </si>
  <si>
    <t>OK unit</t>
  </si>
  <si>
    <t>p ok (Pa)</t>
  </si>
  <si>
    <t>v ok (m/s)</t>
  </si>
  <si>
    <t>I ok (W/m2)</t>
  </si>
  <si>
    <t>D ok (J/m3)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</si>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</sst>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yy\ h:mm:ss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ingdings"/>
      <charset val="2"/>
    </font>
    <font>
      <sz val="11"/>
      <color rgb="FF000000"/>
      <name val="Calibri"/>
      <family val="2"/>
      <charset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9" fillId="0" borderId="0" xfId="0" applyFont="1"/>
    <xf numFmtId="0" fontId="8" fillId="2" borderId="0" xfId="0" applyFont="1" applyFill="1" applyAlignment="1">
      <alignment horizontal="left" vertical="center" indent="1"/>
    </xf>
    <xf numFmtId="0" fontId="0" fillId="2" borderId="0" xfId="0" applyFill="1"/>
    <xf numFmtId="0" fontId="6" fillId="2" borderId="0" xfId="0" applyFont="1" applyFill="1" applyAlignment="1">
      <alignment horizontal="left" vertical="center" indent="1"/>
    </xf>
    <xf numFmtId="164" fontId="1" fillId="0" borderId="0" xfId="0" applyNumberFormat="1" applyFont="1"/>
    <xf numFmtId="0" fontId="3" fillId="0" borderId="0" xfId="0" quotePrefix="1" applyFont="1" applyAlignment="1">
      <alignment horizontal="center" vertical="center" wrapText="1"/>
    </xf>
    <xf numFmtId="164" fontId="1" fillId="0" borderId="1" xfId="0" applyNumberFormat="1" applyFont="1" applyBorder="1" applyAlignment="1">
      <alignment vertical="top" wrapText="1"/>
    </xf>
    <xf numFmtId="0" fontId="10" fillId="0" borderId="0" xfId="1"/>
    <xf numFmtId="0" fontId="13" fillId="0" borderId="8" xfId="0" applyFont="1" applyBorder="1" applyAlignment="1">
      <alignment horizontal="center"/>
    </xf>
    <xf numFmtId="0" fontId="10" fillId="0" borderId="0" xfId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Fill="1" applyBorder="1" applyAlignment="1">
      <alignment horizontal="center"/>
    </xf>
    <xf numFmtId="164" fontId="0" fillId="0" borderId="8" xfId="0" applyNumberFormat="1" applyBorder="1"/>
    <xf numFmtId="0" fontId="10" fillId="5" borderId="2" xfId="1" applyFill="1" applyBorder="1" applyAlignment="1">
      <alignment horizontal="center"/>
    </xf>
    <xf numFmtId="0" fontId="11" fillId="5" borderId="3" xfId="1" applyFont="1" applyFill="1" applyBorder="1" applyAlignment="1">
      <alignment horizontal="right"/>
    </xf>
    <xf numFmtId="0" fontId="11" fillId="5" borderId="3" xfId="1" applyFont="1" applyFill="1" applyBorder="1"/>
    <xf numFmtId="0" fontId="11" fillId="5" borderId="3" xfId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right"/>
    </xf>
    <xf numFmtId="0" fontId="0" fillId="5" borderId="3" xfId="0" applyFill="1" applyBorder="1"/>
    <xf numFmtId="0" fontId="1" fillId="5" borderId="4" xfId="0" applyFont="1" applyFill="1" applyBorder="1" applyAlignment="1">
      <alignment horizontal="center"/>
    </xf>
    <xf numFmtId="0" fontId="10" fillId="0" borderId="9" xfId="1" applyBorder="1" applyAlignment="1">
      <alignment horizontal="center"/>
    </xf>
    <xf numFmtId="165" fontId="11" fillId="0" borderId="8" xfId="1" applyNumberFormat="1" applyFont="1" applyBorder="1"/>
    <xf numFmtId="0" fontId="11" fillId="0" borderId="8" xfId="1" applyFont="1" applyBorder="1"/>
    <xf numFmtId="0" fontId="11" fillId="0" borderId="8" xfId="1" applyFont="1" applyBorder="1" applyAlignment="1">
      <alignment horizontal="center"/>
    </xf>
    <xf numFmtId="0" fontId="11" fillId="3" borderId="8" xfId="1" applyFont="1" applyFill="1" applyBorder="1"/>
    <xf numFmtId="0" fontId="11" fillId="4" borderId="8" xfId="1" applyFont="1" applyFill="1" applyBorder="1"/>
    <xf numFmtId="0" fontId="16" fillId="0" borderId="10" xfId="1" applyFont="1" applyBorder="1" applyAlignment="1">
      <alignment horizontal="center"/>
    </xf>
    <xf numFmtId="0" fontId="11" fillId="0" borderId="8" xfId="1" quotePrefix="1" applyFont="1" applyBorder="1" applyAlignment="1">
      <alignment horizontal="center"/>
    </xf>
    <xf numFmtId="0" fontId="10" fillId="0" borderId="8" xfId="1" applyBorder="1"/>
    <xf numFmtId="0" fontId="10" fillId="0" borderId="5" xfId="1" applyBorder="1" applyAlignment="1">
      <alignment horizontal="center"/>
    </xf>
    <xf numFmtId="165" fontId="11" fillId="0" borderId="6" xfId="1" applyNumberFormat="1" applyFont="1" applyBorder="1"/>
    <xf numFmtId="0" fontId="11" fillId="0" borderId="6" xfId="1" applyFont="1" applyBorder="1"/>
    <xf numFmtId="0" fontId="11" fillId="0" borderId="6" xfId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6" xfId="0" applyNumberFormat="1" applyBorder="1"/>
    <xf numFmtId="0" fontId="0" fillId="0" borderId="6" xfId="0" applyBorder="1"/>
    <xf numFmtId="0" fontId="10" fillId="0" borderId="6" xfId="1" applyBorder="1"/>
    <xf numFmtId="0" fontId="11" fillId="3" borderId="6" xfId="1" applyFont="1" applyFill="1" applyBorder="1"/>
    <xf numFmtId="0" fontId="16" fillId="0" borderId="7" xfId="1" applyFont="1" applyBorder="1" applyAlignment="1">
      <alignment horizontal="center"/>
    </xf>
  </cellXfs>
  <cellStyles count="2">
    <cellStyle name="Normal" xfId="0" builtinId="0"/>
    <cellStyle name="Normal 2" xfId="1" xr:uid="{7C2220D6-E75E-4AF8-A7F2-7664E7886233}"/>
  </cellStyles>
  <dxfs count="65"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7082-BB25-4B27-AFFE-D45D1D6F761E}">
  <dimension ref="A1:Q52"/>
  <sheetViews>
    <sheetView tabSelected="1" zoomScale="130" zoomScaleNormal="130" workbookViewId="0"/>
  </sheetViews>
  <sheetFormatPr defaultRowHeight="14.25"/>
  <cols>
    <col min="1" max="1" width="11.33203125" customWidth="1"/>
    <col min="2" max="2" width="11.19921875" bestFit="1" customWidth="1"/>
    <col min="5" max="5" width="11.59765625" bestFit="1" customWidth="1"/>
    <col min="8" max="8" width="11.19921875" bestFit="1" customWidth="1"/>
  </cols>
  <sheetData>
    <row r="1" spans="1:8" ht="15.75">
      <c r="A1" s="21" t="s">
        <v>0</v>
      </c>
    </row>
    <row r="2" spans="1:8" ht="14.65" thickBot="1"/>
    <row r="3" spans="1:8" ht="14.65" thickTop="1">
      <c r="A3" s="1" t="s">
        <v>21</v>
      </c>
      <c r="B3" s="9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1" t="s">
        <v>27</v>
      </c>
    </row>
    <row r="4" spans="1:8" ht="14.65" thickBot="1">
      <c r="A4" s="1"/>
      <c r="B4" s="12">
        <v>1</v>
      </c>
      <c r="C4" s="13">
        <v>2</v>
      </c>
      <c r="D4" s="13">
        <v>3</v>
      </c>
      <c r="E4" s="13">
        <v>4</v>
      </c>
      <c r="F4" s="13">
        <v>5</v>
      </c>
      <c r="G4" s="14">
        <v>6</v>
      </c>
    </row>
    <row r="5" spans="1:8" ht="14.65" thickTop="1">
      <c r="A5" s="2"/>
    </row>
    <row r="6" spans="1:8">
      <c r="A6" s="3" t="s">
        <v>1</v>
      </c>
    </row>
    <row r="7" spans="1:8">
      <c r="A7" s="20" t="s">
        <v>45</v>
      </c>
    </row>
    <row r="8" spans="1:8">
      <c r="A8" s="22" t="s">
        <v>63</v>
      </c>
      <c r="B8" s="23"/>
      <c r="C8" s="23"/>
      <c r="D8" s="23"/>
      <c r="E8" s="23"/>
      <c r="F8" s="23"/>
      <c r="G8" s="23"/>
    </row>
    <row r="9" spans="1:8">
      <c r="A9" s="22" t="s">
        <v>46</v>
      </c>
      <c r="B9" s="23"/>
      <c r="C9" s="23"/>
      <c r="D9" s="23"/>
      <c r="E9" s="23"/>
      <c r="F9" s="23"/>
      <c r="G9" s="23"/>
    </row>
    <row r="10" spans="1:8">
      <c r="A10" s="20" t="s">
        <v>47</v>
      </c>
    </row>
    <row r="11" spans="1:8">
      <c r="A11" s="20" t="s">
        <v>64</v>
      </c>
    </row>
    <row r="12" spans="1:8">
      <c r="A12" s="22" t="s">
        <v>48</v>
      </c>
      <c r="B12" s="23"/>
      <c r="C12" s="23"/>
      <c r="D12" s="23"/>
      <c r="E12" s="23"/>
      <c r="F12" s="23"/>
      <c r="G12" s="23"/>
      <c r="H12" s="23"/>
    </row>
    <row r="14" spans="1:8">
      <c r="A14" s="5" t="s">
        <v>2</v>
      </c>
    </row>
    <row r="15" spans="1:8">
      <c r="A15" s="6" t="s">
        <v>3</v>
      </c>
    </row>
    <row r="16" spans="1:8">
      <c r="A16" s="4" t="s">
        <v>49</v>
      </c>
    </row>
    <row r="17" spans="1:17">
      <c r="A17" s="4" t="s">
        <v>50</v>
      </c>
    </row>
    <row r="18" spans="1:17">
      <c r="A18" s="24" t="s">
        <v>51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7">
      <c r="A19" s="24" t="s">
        <v>52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>
      <c r="A20" s="4" t="s">
        <v>53</v>
      </c>
    </row>
    <row r="22" spans="1:17">
      <c r="A22" s="5" t="s">
        <v>4</v>
      </c>
    </row>
    <row r="23" spans="1:17">
      <c r="A23" s="6" t="s">
        <v>5</v>
      </c>
    </row>
    <row r="24" spans="1:17">
      <c r="A24" s="22" t="s">
        <v>54</v>
      </c>
      <c r="B24" s="23"/>
      <c r="C24" s="23"/>
      <c r="D24" s="23"/>
      <c r="E24" s="23"/>
      <c r="F24" s="23"/>
    </row>
    <row r="25" spans="1:17">
      <c r="A25" s="22" t="s">
        <v>55</v>
      </c>
      <c r="B25" s="23"/>
      <c r="C25" s="23"/>
      <c r="D25" s="23"/>
    </row>
    <row r="26" spans="1:17">
      <c r="A26" s="22" t="s">
        <v>56</v>
      </c>
      <c r="B26" s="23"/>
      <c r="C26" s="23"/>
      <c r="D26" s="23"/>
    </row>
    <row r="27" spans="1:17">
      <c r="A27" s="22" t="s">
        <v>57</v>
      </c>
      <c r="B27" s="23"/>
      <c r="C27" s="23"/>
      <c r="D27" s="23"/>
    </row>
    <row r="28" spans="1:17">
      <c r="A28" s="20" t="s">
        <v>58</v>
      </c>
    </row>
    <row r="29" spans="1:17">
      <c r="A29" s="20" t="s">
        <v>59</v>
      </c>
    </row>
    <row r="31" spans="1:17">
      <c r="A31" s="5" t="s">
        <v>6</v>
      </c>
    </row>
    <row r="32" spans="1:17">
      <c r="A32" s="5" t="s">
        <v>7</v>
      </c>
    </row>
    <row r="33" spans="1:9">
      <c r="A33" s="16" t="s">
        <v>35</v>
      </c>
      <c r="B33">
        <f>80+E</f>
        <v>85</v>
      </c>
      <c r="C33" t="s">
        <v>36</v>
      </c>
      <c r="D33" s="16" t="s">
        <v>37</v>
      </c>
      <c r="E33">
        <f>80+D</f>
        <v>84</v>
      </c>
      <c r="F33" t="s">
        <v>36</v>
      </c>
      <c r="G33" s="17" t="s">
        <v>38</v>
      </c>
      <c r="H33" s="25">
        <f>10*LOG10(10^(B33/10)+10^(E33/10))</f>
        <v>87.539018910438671</v>
      </c>
      <c r="I33" s="8" t="s">
        <v>36</v>
      </c>
    </row>
    <row r="34" spans="1:9">
      <c r="A34" s="2"/>
    </row>
    <row r="35" spans="1:9">
      <c r="A35" s="5" t="s">
        <v>8</v>
      </c>
    </row>
    <row r="36" spans="1:9">
      <c r="A36" s="15" t="s">
        <v>39</v>
      </c>
      <c r="B36">
        <f>88+F</f>
        <v>94</v>
      </c>
      <c r="C36" t="s">
        <v>36</v>
      </c>
      <c r="G36" s="15" t="s">
        <v>41</v>
      </c>
      <c r="H36" s="8">
        <f>B36-26.2</f>
        <v>67.8</v>
      </c>
      <c r="I36" s="8" t="s">
        <v>40</v>
      </c>
    </row>
    <row r="37" spans="1:9">
      <c r="A37" s="2"/>
    </row>
    <row r="38" spans="1:9">
      <c r="A38" s="5" t="s">
        <v>9</v>
      </c>
    </row>
    <row r="39" spans="1:9">
      <c r="A39" s="2" t="s">
        <v>10</v>
      </c>
    </row>
    <row r="40" spans="1:9">
      <c r="A40" t="s">
        <v>60</v>
      </c>
      <c r="B40">
        <f>50+F</f>
        <v>56</v>
      </c>
      <c r="C40" t="s">
        <v>40</v>
      </c>
      <c r="D40" t="s">
        <v>61</v>
      </c>
      <c r="E40">
        <f>63+D</f>
        <v>67</v>
      </c>
      <c r="F40" t="s">
        <v>40</v>
      </c>
      <c r="G40" s="8" t="s">
        <v>62</v>
      </c>
      <c r="H40" s="25">
        <f>10*LOG10(10^(E40/10)-10^(B40/10))</f>
        <v>66.640554857577314</v>
      </c>
      <c r="I40" s="8" t="s">
        <v>40</v>
      </c>
    </row>
    <row r="41" spans="1:9">
      <c r="A41" s="2"/>
    </row>
    <row r="42" spans="1:9">
      <c r="A42" s="5" t="s">
        <v>11</v>
      </c>
    </row>
    <row r="43" spans="1:9" ht="14.65" thickBot="1">
      <c r="A43" s="5" t="s">
        <v>12</v>
      </c>
    </row>
    <row r="44" spans="1:9" ht="14.65" thickBot="1">
      <c r="A44" t="s">
        <v>42</v>
      </c>
      <c r="B44" s="7" t="s">
        <v>13</v>
      </c>
      <c r="C44" s="7" t="s">
        <v>14</v>
      </c>
      <c r="D44" s="7" t="s">
        <v>15</v>
      </c>
      <c r="E44" s="7" t="s">
        <v>16</v>
      </c>
      <c r="F44" s="7" t="s">
        <v>17</v>
      </c>
      <c r="G44" s="7" t="s">
        <v>18</v>
      </c>
      <c r="H44" s="7" t="s">
        <v>19</v>
      </c>
    </row>
    <row r="45" spans="1:9" ht="14.65" thickBot="1">
      <c r="A45" t="s">
        <v>43</v>
      </c>
      <c r="B45" s="7">
        <f>80+A</f>
        <v>81</v>
      </c>
      <c r="C45" s="7">
        <f>75+B</f>
        <v>77</v>
      </c>
      <c r="D45" s="7">
        <f>73+CC</f>
        <v>76</v>
      </c>
      <c r="E45" s="7">
        <f>70+D</f>
        <v>74</v>
      </c>
      <c r="F45" s="7">
        <f>70+E</f>
        <v>75</v>
      </c>
      <c r="G45" s="7">
        <f>70+F</f>
        <v>76</v>
      </c>
      <c r="H45" s="27">
        <f>10*LOG10(SUM(B46:G46))</f>
        <v>84.946753509382006</v>
      </c>
    </row>
    <row r="46" spans="1:9">
      <c r="A46" s="26" t="s">
        <v>65</v>
      </c>
      <c r="B46" s="18">
        <f>10^(B45/10)</f>
        <v>125892541.17941682</v>
      </c>
      <c r="C46" s="18">
        <f t="shared" ref="C46:G46" si="0">10^(C45/10)</f>
        <v>50118723.362727284</v>
      </c>
      <c r="D46" s="18">
        <f t="shared" si="0"/>
        <v>39810717.055349804</v>
      </c>
      <c r="E46" s="18">
        <f t="shared" si="0"/>
        <v>25118864.315095898</v>
      </c>
      <c r="F46" s="18">
        <f t="shared" si="0"/>
        <v>31622776.601683889</v>
      </c>
      <c r="G46" s="18">
        <f t="shared" si="0"/>
        <v>39810717.055349804</v>
      </c>
    </row>
    <row r="47" spans="1:9">
      <c r="A47" s="18"/>
      <c r="B47" s="18"/>
      <c r="C47" s="18"/>
      <c r="D47" s="18"/>
      <c r="E47" s="18"/>
      <c r="F47" s="18"/>
      <c r="G47" s="19"/>
    </row>
    <row r="48" spans="1:9">
      <c r="A48" s="5" t="s">
        <v>20</v>
      </c>
    </row>
    <row r="49" spans="1:6">
      <c r="A49" s="16" t="s">
        <v>44</v>
      </c>
      <c r="B49">
        <f>80+E</f>
        <v>85</v>
      </c>
      <c r="C49" t="s">
        <v>36</v>
      </c>
      <c r="D49" t="s">
        <v>66</v>
      </c>
    </row>
    <row r="50" spans="1:6">
      <c r="A50" t="s">
        <v>32</v>
      </c>
      <c r="B50" t="s">
        <v>33</v>
      </c>
      <c r="C50" t="s">
        <v>34</v>
      </c>
      <c r="D50" t="s">
        <v>32</v>
      </c>
      <c r="E50" t="s">
        <v>33</v>
      </c>
      <c r="F50" t="s">
        <v>34</v>
      </c>
    </row>
    <row r="51" spans="1:6">
      <c r="A51" t="s">
        <v>28</v>
      </c>
      <c r="B51">
        <f>0.00002*10^(SPL/20)</f>
        <v>0.3556558820077847</v>
      </c>
      <c r="C51" t="s">
        <v>67</v>
      </c>
      <c r="D51" t="s">
        <v>29</v>
      </c>
      <c r="E51">
        <f>0.00005*10^(SPL/20)</f>
        <v>0.88913970501946171</v>
      </c>
      <c r="F51" t="s">
        <v>68</v>
      </c>
    </row>
    <row r="52" spans="1:6">
      <c r="A52" t="s">
        <v>30</v>
      </c>
      <c r="B52">
        <f>0.000000000001*10^(SPL/10)</f>
        <v>3.1622776601683805E-4</v>
      </c>
      <c r="C52" t="s">
        <v>69</v>
      </c>
      <c r="D52" t="s">
        <v>31</v>
      </c>
      <c r="E52">
        <f>0.000000000000003*10^(SPL/10)</f>
        <v>9.4868329805051418E-7</v>
      </c>
      <c r="F52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D935-7E5C-4244-9D4B-A9CBEB4134B2}">
  <sheetPr>
    <outlinePr summaryBelow="0" summaryRight="0"/>
  </sheetPr>
  <dimension ref="A1:AX11"/>
  <sheetViews>
    <sheetView zoomScale="145" zoomScaleNormal="145" workbookViewId="0">
      <pane ySplit="1" topLeftCell="A2" activePane="bottomLeft" state="frozen"/>
      <selection pane="bottomLeft"/>
    </sheetView>
  </sheetViews>
  <sheetFormatPr defaultColWidth="12.59765625" defaultRowHeight="15.75" customHeight="1"/>
  <cols>
    <col min="1" max="1" width="4" style="30" customWidth="1"/>
    <col min="2" max="2" width="16" style="28" customWidth="1"/>
    <col min="3" max="3" width="30" style="28" customWidth="1"/>
    <col min="4" max="4" width="18.86328125" style="28" customWidth="1"/>
    <col min="5" max="5" width="9.59765625" style="30" customWidth="1"/>
    <col min="6" max="11" width="3.33203125" style="28" customWidth="1"/>
    <col min="12" max="12" width="18.86328125" style="28" customWidth="1"/>
    <col min="13" max="18" width="4.265625" style="28" customWidth="1"/>
    <col min="19" max="19" width="18.86328125" style="28" customWidth="1"/>
    <col min="20" max="20" width="7.1328125" style="28" customWidth="1"/>
    <col min="21" max="21" width="18.86328125" style="28" customWidth="1"/>
    <col min="22" max="27" width="4.1328125" style="28" customWidth="1"/>
    <col min="28" max="28" width="18.86328125" style="28" customWidth="1"/>
    <col min="29" max="29" width="9" style="28" customWidth="1"/>
    <col min="30" max="31" width="6.86328125" style="28" customWidth="1"/>
    <col min="32" max="32" width="18.86328125" style="28" customWidth="1"/>
    <col min="33" max="35" width="8.33203125" style="28" customWidth="1"/>
    <col min="36" max="36" width="26.265625" style="28" customWidth="1"/>
    <col min="37" max="37" width="8.33203125" style="28" customWidth="1"/>
    <col min="38" max="38" width="6.3984375" style="28" customWidth="1"/>
    <col min="39" max="39" width="6.06640625" style="28" customWidth="1"/>
    <col min="40" max="40" width="18.86328125" style="28" customWidth="1"/>
    <col min="41" max="43" width="5.46484375" style="28" customWidth="1"/>
    <col min="44" max="44" width="57.73046875" style="28" customWidth="1"/>
    <col min="45" max="45" width="8.59765625" style="28" customWidth="1"/>
    <col min="46" max="46" width="9.46484375" style="28" customWidth="1"/>
    <col min="47" max="47" width="9.59765625" style="28" customWidth="1"/>
    <col min="48" max="48" width="9" style="28" customWidth="1"/>
    <col min="49" max="49" width="5.59765625" style="28" customWidth="1"/>
    <col min="50" max="50" width="8.19921875" style="28" customWidth="1"/>
    <col min="51" max="54" width="18.86328125" style="28" customWidth="1"/>
    <col min="55" max="16384" width="12.59765625" style="28"/>
  </cols>
  <sheetData>
    <row r="1" spans="1:50" ht="15.75" customHeight="1" thickTop="1">
      <c r="A1" s="35" t="s">
        <v>152</v>
      </c>
      <c r="B1" s="36" t="s">
        <v>151</v>
      </c>
      <c r="C1" s="37" t="s">
        <v>150</v>
      </c>
      <c r="D1" s="37" t="s">
        <v>149</v>
      </c>
      <c r="E1" s="38" t="s">
        <v>21</v>
      </c>
      <c r="F1" s="39" t="s">
        <v>22</v>
      </c>
      <c r="G1" s="39" t="s">
        <v>23</v>
      </c>
      <c r="H1" s="39" t="s">
        <v>24</v>
      </c>
      <c r="I1" s="39" t="s">
        <v>25</v>
      </c>
      <c r="J1" s="39" t="s">
        <v>26</v>
      </c>
      <c r="K1" s="39" t="s">
        <v>27</v>
      </c>
      <c r="L1" s="37" t="s">
        <v>148</v>
      </c>
      <c r="M1" s="40">
        <v>-1</v>
      </c>
      <c r="N1" s="40">
        <v>1</v>
      </c>
      <c r="O1" s="40">
        <v>1</v>
      </c>
      <c r="P1" s="40">
        <v>-1</v>
      </c>
      <c r="Q1" s="40">
        <v>-1</v>
      </c>
      <c r="R1" s="40">
        <v>1</v>
      </c>
      <c r="S1" s="37" t="s">
        <v>147</v>
      </c>
      <c r="T1" s="40" t="s">
        <v>153</v>
      </c>
      <c r="U1" s="37" t="s">
        <v>146</v>
      </c>
      <c r="V1" s="40">
        <v>1</v>
      </c>
      <c r="W1" s="40">
        <v>1</v>
      </c>
      <c r="X1" s="40">
        <v>1</v>
      </c>
      <c r="Y1" s="40">
        <v>1</v>
      </c>
      <c r="Z1" s="40">
        <v>-1</v>
      </c>
      <c r="AA1" s="40">
        <v>-1</v>
      </c>
      <c r="AB1" s="37" t="s">
        <v>145</v>
      </c>
      <c r="AC1" s="41" t="s">
        <v>154</v>
      </c>
      <c r="AD1" s="42" t="s">
        <v>155</v>
      </c>
      <c r="AE1" s="40" t="s">
        <v>153</v>
      </c>
      <c r="AF1" s="37" t="s">
        <v>144</v>
      </c>
      <c r="AG1" s="41" t="s">
        <v>154</v>
      </c>
      <c r="AH1" s="42" t="s">
        <v>155</v>
      </c>
      <c r="AI1" s="40" t="s">
        <v>153</v>
      </c>
      <c r="AJ1" s="37" t="s">
        <v>143</v>
      </c>
      <c r="AK1" s="41" t="s">
        <v>154</v>
      </c>
      <c r="AL1" s="42" t="s">
        <v>155</v>
      </c>
      <c r="AM1" s="40" t="s">
        <v>153</v>
      </c>
      <c r="AN1" s="37" t="s">
        <v>142</v>
      </c>
      <c r="AO1" s="41" t="s">
        <v>154</v>
      </c>
      <c r="AP1" s="42" t="s">
        <v>155</v>
      </c>
      <c r="AQ1" s="40" t="s">
        <v>153</v>
      </c>
      <c r="AR1" s="37" t="s">
        <v>141</v>
      </c>
      <c r="AS1" s="37" t="s">
        <v>156</v>
      </c>
      <c r="AT1" s="37" t="s">
        <v>157</v>
      </c>
      <c r="AU1" s="37" t="s">
        <v>158</v>
      </c>
      <c r="AV1" s="37" t="s">
        <v>159</v>
      </c>
      <c r="AW1" s="40" t="s">
        <v>153</v>
      </c>
      <c r="AX1" s="43" t="s">
        <v>160</v>
      </c>
    </row>
    <row r="2" spans="1:50" ht="15.75" customHeight="1">
      <c r="A2" s="44">
        <v>1</v>
      </c>
      <c r="B2" s="45">
        <v>44838.406259398151</v>
      </c>
      <c r="C2" s="46" t="s">
        <v>140</v>
      </c>
      <c r="D2" s="46" t="s">
        <v>139</v>
      </c>
      <c r="E2" s="47">
        <v>350971</v>
      </c>
      <c r="F2" s="29">
        <f t="shared" ref="F2" si="0">INT(E2/100000)</f>
        <v>3</v>
      </c>
      <c r="G2" s="29">
        <f t="shared" ref="G2" si="1">INT(($E2-100000*F2)/10000)</f>
        <v>5</v>
      </c>
      <c r="H2" s="29">
        <f t="shared" ref="H2" si="2">INT(($E2-100000*F2-10000*G2)/1000)</f>
        <v>0</v>
      </c>
      <c r="I2" s="29">
        <f t="shared" ref="I2:I10" si="3">INT(($E2-100000*$F2-10000*$G2-1000*$H2)/100)</f>
        <v>9</v>
      </c>
      <c r="J2" s="29">
        <f t="shared" ref="J2:J10" si="4">INT(($E2-100000*$F2-10000*$G2-1000*$H2-100*$I2)/10)</f>
        <v>7</v>
      </c>
      <c r="K2" s="29">
        <f t="shared" ref="K2:K10" si="5">INT(($E2-100000*$F2-10000*$G2-1000*$H2-100*$I2-10*$J2))</f>
        <v>1</v>
      </c>
      <c r="L2" s="46" t="s">
        <v>85</v>
      </c>
      <c r="M2" s="31">
        <f>IF(ISERROR(FIND("pressure on its vibrating surface",L2,1)),0,M$1)</f>
        <v>0</v>
      </c>
      <c r="N2" s="31">
        <f>IF(ISERROR(FIND("particle velocity on its vibrating surface",L2,1)),0,N$1)</f>
        <v>1</v>
      </c>
      <c r="O2" s="31">
        <f>IF(ISERROR(FIND("Close to an hard wall there is a lot o sound pressure",L2,1)),0,O$1)</f>
        <v>1</v>
      </c>
      <c r="P2" s="31">
        <f>IF(ISERROR(FIND("Close to an hard wall there is a lot of particle velocity",L2,1)),0,P$1)</f>
        <v>0</v>
      </c>
      <c r="Q2" s="31">
        <f>IF(ISERROR(FIND("ratio between sound pressure and particle velocity is always equal",L2,1)),0,Q$1)</f>
        <v>-1</v>
      </c>
      <c r="R2" s="31">
        <f>IF(ISERROR(FIND("The sound intensity level is always smaller or equal of the energy density level",L2,1)),0,R$1)</f>
        <v>0</v>
      </c>
      <c r="S2" s="46" t="s">
        <v>76</v>
      </c>
      <c r="T2" s="33">
        <v>1</v>
      </c>
      <c r="U2" s="46" t="s">
        <v>75</v>
      </c>
      <c r="V2" s="31">
        <f>IF(ISERROR(FIND("having an RMS value of 1.0 Pa at 1 kHz",U2,1)),0,V$1)</f>
        <v>1</v>
      </c>
      <c r="W2" s="31">
        <f>IF(ISERROR(FIND("A sound pressure level of 94 dB",U2,1)),0,W$1)</f>
        <v>1</v>
      </c>
      <c r="X2" s="31">
        <f>IF(ISERROR(FIND("A sound pressure level of 94 dB(A)",U2,1)),0,X$1)</f>
        <v>0</v>
      </c>
      <c r="Y2" s="31">
        <f>IF(ISERROR(FIND("A sound pressure level of 94 dB(C)",U2,1)),0,Y$1)</f>
        <v>0</v>
      </c>
      <c r="Z2" s="31">
        <f>IF(ISERROR(FIND("A particle velocity level of 94 dB",U2,1)),0,Z$1)</f>
        <v>0</v>
      </c>
      <c r="AA2" s="31">
        <f>IF(ISERROR(FIND("A sound intensity level of 94 dB",U2,1)),0,AA$1)</f>
        <v>0</v>
      </c>
      <c r="AB2" s="46" t="s">
        <v>138</v>
      </c>
      <c r="AC2" s="34">
        <f>10*LOG10(10^((80+J2)/10)+10^((80+I2)/10))</f>
        <v>91.1244260279434</v>
      </c>
      <c r="AD2" s="32" t="s">
        <v>36</v>
      </c>
      <c r="AE2" s="33">
        <v>1</v>
      </c>
      <c r="AF2" s="46" t="s">
        <v>137</v>
      </c>
      <c r="AG2" s="34">
        <f>88+K2-26.2</f>
        <v>62.8</v>
      </c>
      <c r="AH2" s="32" t="s">
        <v>40</v>
      </c>
      <c r="AI2" s="33">
        <v>1</v>
      </c>
      <c r="AJ2" s="46" t="s">
        <v>136</v>
      </c>
      <c r="AK2" s="34">
        <f>10*LOG10(10^((63+I2)/10)-10^((50+K2)/10))</f>
        <v>71.965365022544546</v>
      </c>
      <c r="AL2" s="32" t="s">
        <v>40</v>
      </c>
      <c r="AM2" s="33">
        <v>0</v>
      </c>
      <c r="AN2" s="46" t="s">
        <v>135</v>
      </c>
      <c r="AO2" s="34">
        <f>10*LOG10(10^((80+F2)/10)+10^((75+G2)/10)+10^((73+H2)/10)+10^((70+I2)/10)+10^((70+J2)/10)+10^((70+K2)/10))</f>
        <v>86.642842926449418</v>
      </c>
      <c r="AP2" s="32" t="s">
        <v>40</v>
      </c>
      <c r="AQ2" s="33">
        <v>1</v>
      </c>
      <c r="AR2" s="46" t="s">
        <v>134</v>
      </c>
      <c r="AS2" s="48">
        <f>0.00002*10^((80+J2)/20)</f>
        <v>0.44774422771366768</v>
      </c>
      <c r="AT2" s="48">
        <f>0.00000005*10^((80+J2)/20)</f>
        <v>1.1193605692841691E-3</v>
      </c>
      <c r="AU2" s="49">
        <f>0.000000000001*10^((80+J2)/10)</f>
        <v>5.0118723362727155E-4</v>
      </c>
      <c r="AV2" s="49">
        <f>0.000000000000003*10^((80+J2)/10)</f>
        <v>1.5035617008818147E-6</v>
      </c>
      <c r="AW2" s="33">
        <v>2</v>
      </c>
      <c r="AX2" s="50">
        <f>SUM(M2:R2)+T2+SUM(V2:AA2)+AE2+AI2+AM2+AQ2+AW2</f>
        <v>9</v>
      </c>
    </row>
    <row r="3" spans="1:50" ht="15.75" customHeight="1">
      <c r="A3" s="44">
        <v>2</v>
      </c>
      <c r="B3" s="45">
        <v>44838.409761388888</v>
      </c>
      <c r="C3" s="46" t="s">
        <v>133</v>
      </c>
      <c r="D3" s="46" t="s">
        <v>132</v>
      </c>
      <c r="E3" s="47">
        <v>336706</v>
      </c>
      <c r="F3" s="29">
        <f t="shared" ref="F3:F10" si="6">INT(E3/100000)</f>
        <v>3</v>
      </c>
      <c r="G3" s="29">
        <f t="shared" ref="G3:G10" si="7">INT(($E3-100000*F3)/10000)</f>
        <v>3</v>
      </c>
      <c r="H3" s="29">
        <f t="shared" ref="H3:H10" si="8">INT(($E3-100000*F3-10000*G3)/1000)</f>
        <v>6</v>
      </c>
      <c r="I3" s="29">
        <f t="shared" si="3"/>
        <v>7</v>
      </c>
      <c r="J3" s="29">
        <f t="shared" si="4"/>
        <v>0</v>
      </c>
      <c r="K3" s="29">
        <f t="shared" si="5"/>
        <v>6</v>
      </c>
      <c r="L3" s="46" t="s">
        <v>77</v>
      </c>
      <c r="M3" s="31">
        <f t="shared" ref="M3:M10" si="9">IF(ISERROR(FIND("pressure on its vibrating surface",L3,1)),0,M$1)</f>
        <v>-1</v>
      </c>
      <c r="N3" s="31">
        <f t="shared" ref="N3:N10" si="10">IF(ISERROR(FIND("particle velocity on its vibrating surface",L3,1)),0,N$1)</f>
        <v>0</v>
      </c>
      <c r="O3" s="31">
        <f t="shared" ref="O3:O10" si="11">IF(ISERROR(FIND("Close to an hard wall there is a lot o sound pressure",L3,1)),0,O$1)</f>
        <v>1</v>
      </c>
      <c r="P3" s="31">
        <f t="shared" ref="P3:P10" si="12">IF(ISERROR(FIND("Close to an hard wall there is a lot of particle velocity",L3,1)),0,P$1)</f>
        <v>0</v>
      </c>
      <c r="Q3" s="31">
        <f t="shared" ref="Q3:Q10" si="13">IF(ISERROR(FIND("ratio between sound pressure and particle velocity is always equal",L3,1)),0,Q$1)</f>
        <v>0</v>
      </c>
      <c r="R3" s="31">
        <f t="shared" ref="R3:R10" si="14">IF(ISERROR(FIND("The sound intensity level is always smaller or equal of the energy density level",L3,1)),0,R$1)</f>
        <v>1</v>
      </c>
      <c r="S3" s="46" t="s">
        <v>76</v>
      </c>
      <c r="T3" s="33">
        <v>1</v>
      </c>
      <c r="U3" s="46" t="s">
        <v>75</v>
      </c>
      <c r="V3" s="31">
        <f t="shared" ref="V3:V10" si="15">IF(ISERROR(FIND("having an RMS value of 1.0 Pa at 1 kHz",U3,1)),0,V$1)</f>
        <v>1</v>
      </c>
      <c r="W3" s="31">
        <f t="shared" ref="W3:W10" si="16">IF(ISERROR(FIND("A sound pressure level of 94 dB",U3,1)),0,W$1)</f>
        <v>1</v>
      </c>
      <c r="X3" s="31">
        <f t="shared" ref="X3:X10" si="17">IF(ISERROR(FIND("A sound pressure level of 94 dB(A)",U3,1)),0,X$1)</f>
        <v>0</v>
      </c>
      <c r="Y3" s="31">
        <f t="shared" ref="Y3:Y10" si="18">IF(ISERROR(FIND("A sound pressure level of 94 dB(C)",U3,1)),0,Y$1)</f>
        <v>0</v>
      </c>
      <c r="Z3" s="31">
        <f t="shared" ref="Z3:Z10" si="19">IF(ISERROR(FIND("A particle velocity level of 94 dB",U3,1)),0,Z$1)</f>
        <v>0</v>
      </c>
      <c r="AA3" s="31">
        <f t="shared" ref="AA3:AA10" si="20">IF(ISERROR(FIND("A sound intensity level of 94 dB",U3,1)),0,AA$1)</f>
        <v>0</v>
      </c>
      <c r="AB3" s="46" t="s">
        <v>131</v>
      </c>
      <c r="AC3" s="34">
        <f>10*LOG10(10^((80+J3)/10)+10^((80+I3)/10))</f>
        <v>87.790097496525661</v>
      </c>
      <c r="AD3" s="32" t="s">
        <v>36</v>
      </c>
      <c r="AE3" s="33">
        <v>1</v>
      </c>
      <c r="AF3" s="46" t="s">
        <v>130</v>
      </c>
      <c r="AG3" s="34">
        <f t="shared" ref="AG3:AG10" si="21">88+K3-26.2</f>
        <v>67.8</v>
      </c>
      <c r="AH3" s="32" t="s">
        <v>40</v>
      </c>
      <c r="AI3" s="33">
        <v>1</v>
      </c>
      <c r="AJ3" s="46" t="s">
        <v>129</v>
      </c>
      <c r="AK3" s="34">
        <f t="shared" ref="AK3:AK10" si="22">10*LOG10(10^((63+I3)/10)-10^((50+K3)/10))</f>
        <v>69.823568543263619</v>
      </c>
      <c r="AL3" s="32" t="s">
        <v>40</v>
      </c>
      <c r="AM3" s="33">
        <v>1</v>
      </c>
      <c r="AN3" s="46" t="s">
        <v>128</v>
      </c>
      <c r="AO3" s="34">
        <f t="shared" ref="AO3:AO10" si="23">10*LOG10(10^((80+F3)/10)+10^((75+G3)/10)+10^((73+H3)/10)+10^((70+I3)/10)+10^((70+J3)/10)+10^((70+K3)/10))</f>
        <v>86.454067738340626</v>
      </c>
      <c r="AP3" s="32" t="s">
        <v>40</v>
      </c>
      <c r="AQ3" s="33">
        <v>1</v>
      </c>
      <c r="AR3" s="46" t="s">
        <v>127</v>
      </c>
      <c r="AS3" s="48">
        <f t="shared" ref="AS3:AS10" si="24">0.00002*10^((80+J3)/20)</f>
        <v>0.2</v>
      </c>
      <c r="AT3" s="48">
        <f t="shared" ref="AT3:AT10" si="25">0.00000005*10^((80+J3)/20)</f>
        <v>5.0000000000000001E-4</v>
      </c>
      <c r="AU3" s="49">
        <f t="shared" ref="AU3:AU10" si="26">0.000000000001*10^((80+J3)/10)</f>
        <v>9.9999999999999991E-5</v>
      </c>
      <c r="AV3" s="49">
        <f t="shared" ref="AV3:AV10" si="27">0.000000000000003*10^((80+J3)/10)</f>
        <v>2.9999999999999999E-7</v>
      </c>
      <c r="AW3" s="33">
        <v>2</v>
      </c>
      <c r="AX3" s="50">
        <f t="shared" ref="AX3:AX10" si="28">SUM(M3:R3)+T3+SUM(V3:AA3)+AE3+AI3+AM3+AQ3+AW3</f>
        <v>10</v>
      </c>
    </row>
    <row r="4" spans="1:50" ht="15.75" customHeight="1">
      <c r="A4" s="44">
        <v>3</v>
      </c>
      <c r="B4" s="45">
        <v>44838.412497777783</v>
      </c>
      <c r="C4" s="46" t="s">
        <v>126</v>
      </c>
      <c r="D4" s="46" t="s">
        <v>125</v>
      </c>
      <c r="E4" s="47">
        <v>330937</v>
      </c>
      <c r="F4" s="29">
        <f t="shared" si="6"/>
        <v>3</v>
      </c>
      <c r="G4" s="29">
        <f t="shared" si="7"/>
        <v>3</v>
      </c>
      <c r="H4" s="29">
        <f t="shared" si="8"/>
        <v>0</v>
      </c>
      <c r="I4" s="29">
        <f t="shared" si="3"/>
        <v>9</v>
      </c>
      <c r="J4" s="29">
        <f t="shared" si="4"/>
        <v>3</v>
      </c>
      <c r="K4" s="29">
        <f t="shared" si="5"/>
        <v>7</v>
      </c>
      <c r="L4" s="46" t="s">
        <v>124</v>
      </c>
      <c r="M4" s="31">
        <f t="shared" si="9"/>
        <v>-1</v>
      </c>
      <c r="N4" s="31">
        <f t="shared" si="10"/>
        <v>0</v>
      </c>
      <c r="O4" s="31">
        <f t="shared" si="11"/>
        <v>1</v>
      </c>
      <c r="P4" s="31">
        <f t="shared" si="12"/>
        <v>0</v>
      </c>
      <c r="Q4" s="31">
        <f t="shared" si="13"/>
        <v>-1</v>
      </c>
      <c r="R4" s="31">
        <f t="shared" si="14"/>
        <v>0</v>
      </c>
      <c r="S4" s="46" t="s">
        <v>76</v>
      </c>
      <c r="T4" s="33">
        <v>1</v>
      </c>
      <c r="U4" s="46" t="s">
        <v>75</v>
      </c>
      <c r="V4" s="31">
        <f t="shared" si="15"/>
        <v>1</v>
      </c>
      <c r="W4" s="31">
        <f t="shared" si="16"/>
        <v>1</v>
      </c>
      <c r="X4" s="31">
        <f t="shared" si="17"/>
        <v>0</v>
      </c>
      <c r="Y4" s="31">
        <f t="shared" si="18"/>
        <v>0</v>
      </c>
      <c r="Z4" s="31">
        <f t="shared" si="19"/>
        <v>0</v>
      </c>
      <c r="AA4" s="31">
        <f t="shared" si="20"/>
        <v>0</v>
      </c>
      <c r="AB4" s="46" t="s">
        <v>123</v>
      </c>
      <c r="AC4" s="34">
        <f t="shared" ref="AC4:AC10" si="29">10*LOG10(10^((80+J4)/10)+10^((80+I4)/10))</f>
        <v>89.973227937086975</v>
      </c>
      <c r="AD4" s="32" t="s">
        <v>36</v>
      </c>
      <c r="AE4" s="33">
        <v>1</v>
      </c>
      <c r="AF4" s="46" t="s">
        <v>122</v>
      </c>
      <c r="AG4" s="34">
        <f t="shared" si="21"/>
        <v>68.8</v>
      </c>
      <c r="AH4" s="32" t="s">
        <v>40</v>
      </c>
      <c r="AI4" s="33">
        <v>-1</v>
      </c>
      <c r="AJ4" s="46" t="s">
        <v>121</v>
      </c>
      <c r="AK4" s="34">
        <f t="shared" si="22"/>
        <v>71.860445661179455</v>
      </c>
      <c r="AL4" s="32" t="s">
        <v>40</v>
      </c>
      <c r="AM4" s="33">
        <v>-1</v>
      </c>
      <c r="AN4" s="46" t="s">
        <v>120</v>
      </c>
      <c r="AO4" s="34">
        <f t="shared" si="23"/>
        <v>86.355629169908624</v>
      </c>
      <c r="AP4" s="32" t="s">
        <v>40</v>
      </c>
      <c r="AQ4" s="33">
        <v>-1</v>
      </c>
      <c r="AR4" s="46" t="s">
        <v>119</v>
      </c>
      <c r="AS4" s="49">
        <f t="shared" si="24"/>
        <v>0.28250750892455123</v>
      </c>
      <c r="AT4" s="49">
        <f t="shared" si="25"/>
        <v>7.0626877231137807E-4</v>
      </c>
      <c r="AU4" s="48">
        <f t="shared" si="26"/>
        <v>1.9952623149688842E-4</v>
      </c>
      <c r="AV4" s="48">
        <f t="shared" si="27"/>
        <v>5.9857869449066531E-7</v>
      </c>
      <c r="AW4" s="33">
        <v>2</v>
      </c>
      <c r="AX4" s="50">
        <f t="shared" si="28"/>
        <v>2</v>
      </c>
    </row>
    <row r="5" spans="1:50" ht="15.75" customHeight="1">
      <c r="A5" s="44">
        <v>4</v>
      </c>
      <c r="B5" s="45">
        <v>44838.413882835652</v>
      </c>
      <c r="C5" s="46" t="s">
        <v>118</v>
      </c>
      <c r="D5" s="46" t="s">
        <v>117</v>
      </c>
      <c r="E5" s="47">
        <v>333808</v>
      </c>
      <c r="F5" s="29">
        <f t="shared" si="6"/>
        <v>3</v>
      </c>
      <c r="G5" s="29">
        <f t="shared" si="7"/>
        <v>3</v>
      </c>
      <c r="H5" s="29">
        <f t="shared" si="8"/>
        <v>3</v>
      </c>
      <c r="I5" s="29">
        <f t="shared" si="3"/>
        <v>8</v>
      </c>
      <c r="J5" s="29">
        <f t="shared" si="4"/>
        <v>0</v>
      </c>
      <c r="K5" s="29">
        <f t="shared" si="5"/>
        <v>8</v>
      </c>
      <c r="L5" s="46" t="s">
        <v>116</v>
      </c>
      <c r="M5" s="31">
        <f t="shared" si="9"/>
        <v>0</v>
      </c>
      <c r="N5" s="31">
        <f t="shared" si="10"/>
        <v>1</v>
      </c>
      <c r="O5" s="31">
        <f t="shared" si="11"/>
        <v>1</v>
      </c>
      <c r="P5" s="31">
        <f t="shared" si="12"/>
        <v>0</v>
      </c>
      <c r="Q5" s="31">
        <f t="shared" si="13"/>
        <v>0</v>
      </c>
      <c r="R5" s="31">
        <f t="shared" si="14"/>
        <v>0</v>
      </c>
      <c r="S5" s="46" t="s">
        <v>76</v>
      </c>
      <c r="T5" s="33">
        <v>1</v>
      </c>
      <c r="U5" s="46" t="s">
        <v>115</v>
      </c>
      <c r="V5" s="31">
        <f t="shared" si="15"/>
        <v>1</v>
      </c>
      <c r="W5" s="31">
        <f t="shared" si="16"/>
        <v>1</v>
      </c>
      <c r="X5" s="31">
        <f t="shared" si="17"/>
        <v>1</v>
      </c>
      <c r="Y5" s="31">
        <f t="shared" si="18"/>
        <v>0</v>
      </c>
      <c r="Z5" s="31">
        <f t="shared" si="19"/>
        <v>0</v>
      </c>
      <c r="AA5" s="31">
        <f t="shared" si="20"/>
        <v>0</v>
      </c>
      <c r="AB5" s="46" t="s">
        <v>114</v>
      </c>
      <c r="AC5" s="34">
        <f t="shared" si="29"/>
        <v>88.638920341433817</v>
      </c>
      <c r="AD5" s="32" t="s">
        <v>36</v>
      </c>
      <c r="AE5" s="33">
        <v>1</v>
      </c>
      <c r="AF5" s="46" t="s">
        <v>113</v>
      </c>
      <c r="AG5" s="34">
        <f t="shared" si="21"/>
        <v>69.8</v>
      </c>
      <c r="AH5" s="32" t="s">
        <v>40</v>
      </c>
      <c r="AI5" s="33">
        <v>1</v>
      </c>
      <c r="AJ5" s="46" t="s">
        <v>112</v>
      </c>
      <c r="AK5" s="34">
        <f t="shared" si="22"/>
        <v>70.776693272642078</v>
      </c>
      <c r="AL5" s="32" t="s">
        <v>40</v>
      </c>
      <c r="AM5" s="33">
        <v>1</v>
      </c>
      <c r="AN5" s="46" t="s">
        <v>111</v>
      </c>
      <c r="AO5" s="34">
        <f t="shared" si="23"/>
        <v>86.420925414922237</v>
      </c>
      <c r="AP5" s="32" t="s">
        <v>40</v>
      </c>
      <c r="AQ5" s="33">
        <v>1</v>
      </c>
      <c r="AR5" s="46" t="s">
        <v>110</v>
      </c>
      <c r="AS5" s="48">
        <f t="shared" si="24"/>
        <v>0.2</v>
      </c>
      <c r="AT5" s="48">
        <f t="shared" si="25"/>
        <v>5.0000000000000001E-4</v>
      </c>
      <c r="AU5" s="48">
        <f t="shared" si="26"/>
        <v>9.9999999999999991E-5</v>
      </c>
      <c r="AV5" s="48">
        <f t="shared" si="27"/>
        <v>2.9999999999999999E-7</v>
      </c>
      <c r="AW5" s="33">
        <v>4</v>
      </c>
      <c r="AX5" s="50">
        <f t="shared" si="28"/>
        <v>14</v>
      </c>
    </row>
    <row r="6" spans="1:50" ht="15.75" customHeight="1">
      <c r="A6" s="44">
        <v>5</v>
      </c>
      <c r="B6" s="45">
        <v>44838.415314224534</v>
      </c>
      <c r="C6" s="46" t="s">
        <v>109</v>
      </c>
      <c r="D6" s="46" t="s">
        <v>108</v>
      </c>
      <c r="E6" s="51" t="s">
        <v>107</v>
      </c>
      <c r="F6" s="29">
        <f t="shared" si="6"/>
        <v>0</v>
      </c>
      <c r="G6" s="29">
        <f t="shared" si="7"/>
        <v>8</v>
      </c>
      <c r="H6" s="29">
        <f t="shared" si="8"/>
        <v>0</v>
      </c>
      <c r="I6" s="29">
        <f t="shared" si="3"/>
        <v>5</v>
      </c>
      <c r="J6" s="29">
        <f t="shared" si="4"/>
        <v>0</v>
      </c>
      <c r="K6" s="29">
        <f t="shared" si="5"/>
        <v>0</v>
      </c>
      <c r="L6" s="46" t="s">
        <v>85</v>
      </c>
      <c r="M6" s="31">
        <f t="shared" si="9"/>
        <v>0</v>
      </c>
      <c r="N6" s="31">
        <f t="shared" si="10"/>
        <v>1</v>
      </c>
      <c r="O6" s="31">
        <f t="shared" si="11"/>
        <v>1</v>
      </c>
      <c r="P6" s="31">
        <f t="shared" si="12"/>
        <v>0</v>
      </c>
      <c r="Q6" s="31">
        <f t="shared" si="13"/>
        <v>-1</v>
      </c>
      <c r="R6" s="31">
        <f t="shared" si="14"/>
        <v>0</v>
      </c>
      <c r="S6" s="46" t="s">
        <v>76</v>
      </c>
      <c r="T6" s="33">
        <v>1</v>
      </c>
      <c r="U6" s="46" t="s">
        <v>106</v>
      </c>
      <c r="V6" s="31">
        <f t="shared" si="15"/>
        <v>0</v>
      </c>
      <c r="W6" s="31">
        <f t="shared" si="16"/>
        <v>1</v>
      </c>
      <c r="X6" s="31">
        <f t="shared" si="17"/>
        <v>0</v>
      </c>
      <c r="Y6" s="31">
        <f t="shared" si="18"/>
        <v>0</v>
      </c>
      <c r="Z6" s="31">
        <f t="shared" si="19"/>
        <v>0</v>
      </c>
      <c r="AA6" s="31">
        <f t="shared" si="20"/>
        <v>-1</v>
      </c>
      <c r="AB6" s="46" t="s">
        <v>105</v>
      </c>
      <c r="AC6" s="34">
        <f t="shared" si="29"/>
        <v>86.193310480660941</v>
      </c>
      <c r="AD6" s="32" t="s">
        <v>36</v>
      </c>
      <c r="AE6" s="33">
        <v>1</v>
      </c>
      <c r="AF6" s="46" t="s">
        <v>92</v>
      </c>
      <c r="AG6" s="34">
        <f t="shared" si="21"/>
        <v>61.8</v>
      </c>
      <c r="AH6" s="32" t="s">
        <v>40</v>
      </c>
      <c r="AI6" s="33">
        <v>1</v>
      </c>
      <c r="AJ6" s="46" t="s">
        <v>104</v>
      </c>
      <c r="AK6" s="34">
        <f t="shared" si="22"/>
        <v>67.930617681425517</v>
      </c>
      <c r="AL6" s="32" t="s">
        <v>40</v>
      </c>
      <c r="AM6" s="33">
        <v>1</v>
      </c>
      <c r="AN6" s="46" t="s">
        <v>103</v>
      </c>
      <c r="AO6" s="34">
        <f t="shared" si="23"/>
        <v>85.69492863377512</v>
      </c>
      <c r="AP6" s="32" t="s">
        <v>40</v>
      </c>
      <c r="AQ6" s="33">
        <v>-1</v>
      </c>
      <c r="AR6" s="52"/>
      <c r="AS6" s="46">
        <f t="shared" si="24"/>
        <v>0.2</v>
      </c>
      <c r="AT6" s="46">
        <f t="shared" si="25"/>
        <v>5.0000000000000001E-4</v>
      </c>
      <c r="AU6" s="46">
        <f t="shared" si="26"/>
        <v>9.9999999999999991E-5</v>
      </c>
      <c r="AV6" s="46">
        <f t="shared" si="27"/>
        <v>2.9999999999999999E-7</v>
      </c>
      <c r="AW6" s="33">
        <v>0</v>
      </c>
      <c r="AX6" s="50">
        <f t="shared" si="28"/>
        <v>4</v>
      </c>
    </row>
    <row r="7" spans="1:50" ht="15.75" customHeight="1">
      <c r="A7" s="44">
        <v>6</v>
      </c>
      <c r="B7" s="45">
        <v>44838.415339317129</v>
      </c>
      <c r="C7" s="46" t="s">
        <v>102</v>
      </c>
      <c r="D7" s="46" t="s">
        <v>101</v>
      </c>
      <c r="E7" s="47">
        <v>342593</v>
      </c>
      <c r="F7" s="29">
        <f t="shared" si="6"/>
        <v>3</v>
      </c>
      <c r="G7" s="29">
        <f t="shared" si="7"/>
        <v>4</v>
      </c>
      <c r="H7" s="29">
        <f t="shared" si="8"/>
        <v>2</v>
      </c>
      <c r="I7" s="29">
        <f t="shared" si="3"/>
        <v>5</v>
      </c>
      <c r="J7" s="29">
        <f t="shared" si="4"/>
        <v>9</v>
      </c>
      <c r="K7" s="29">
        <f t="shared" si="5"/>
        <v>3</v>
      </c>
      <c r="L7" s="46" t="s">
        <v>100</v>
      </c>
      <c r="M7" s="31">
        <f t="shared" si="9"/>
        <v>-1</v>
      </c>
      <c r="N7" s="31">
        <f t="shared" si="10"/>
        <v>0</v>
      </c>
      <c r="O7" s="31">
        <f t="shared" si="11"/>
        <v>1</v>
      </c>
      <c r="P7" s="31">
        <f t="shared" si="12"/>
        <v>0</v>
      </c>
      <c r="Q7" s="31">
        <f t="shared" si="13"/>
        <v>-1</v>
      </c>
      <c r="R7" s="31">
        <f t="shared" si="14"/>
        <v>1</v>
      </c>
      <c r="S7" s="46" t="s">
        <v>76</v>
      </c>
      <c r="T7" s="33">
        <v>1</v>
      </c>
      <c r="U7" s="46" t="s">
        <v>75</v>
      </c>
      <c r="V7" s="31">
        <f t="shared" si="15"/>
        <v>1</v>
      </c>
      <c r="W7" s="31">
        <f t="shared" si="16"/>
        <v>1</v>
      </c>
      <c r="X7" s="31">
        <f t="shared" si="17"/>
        <v>0</v>
      </c>
      <c r="Y7" s="31">
        <f t="shared" si="18"/>
        <v>0</v>
      </c>
      <c r="Z7" s="31">
        <f t="shared" si="19"/>
        <v>0</v>
      </c>
      <c r="AA7" s="31">
        <f t="shared" si="20"/>
        <v>0</v>
      </c>
      <c r="AB7" s="46" t="s">
        <v>99</v>
      </c>
      <c r="AC7" s="34">
        <f t="shared" si="29"/>
        <v>90.455404631092961</v>
      </c>
      <c r="AD7" s="32" t="s">
        <v>36</v>
      </c>
      <c r="AE7" s="33">
        <v>1</v>
      </c>
      <c r="AF7" s="46" t="s">
        <v>98</v>
      </c>
      <c r="AG7" s="34">
        <f t="shared" si="21"/>
        <v>64.8</v>
      </c>
      <c r="AH7" s="32" t="s">
        <v>40</v>
      </c>
      <c r="AI7" s="33">
        <v>1</v>
      </c>
      <c r="AJ7" s="46" t="s">
        <v>97</v>
      </c>
      <c r="AK7" s="34">
        <f t="shared" si="22"/>
        <v>67.860445661179455</v>
      </c>
      <c r="AL7" s="32" t="s">
        <v>40</v>
      </c>
      <c r="AM7" s="33">
        <v>1</v>
      </c>
      <c r="AN7" s="46" t="s">
        <v>96</v>
      </c>
      <c r="AO7" s="34">
        <f t="shared" si="23"/>
        <v>86.450192839322497</v>
      </c>
      <c r="AP7" s="32" t="s">
        <v>40</v>
      </c>
      <c r="AQ7" s="33">
        <v>-1</v>
      </c>
      <c r="AR7" s="52"/>
      <c r="AS7" s="46">
        <f t="shared" si="24"/>
        <v>0.56367658625289196</v>
      </c>
      <c r="AT7" s="46">
        <f t="shared" si="25"/>
        <v>1.4091914656322296E-3</v>
      </c>
      <c r="AU7" s="46">
        <f t="shared" si="26"/>
        <v>7.9432823472428457E-4</v>
      </c>
      <c r="AV7" s="46">
        <f t="shared" si="27"/>
        <v>2.3829847041728535E-6</v>
      </c>
      <c r="AW7" s="33">
        <v>0</v>
      </c>
      <c r="AX7" s="50">
        <f t="shared" si="28"/>
        <v>5</v>
      </c>
    </row>
    <row r="8" spans="1:50" ht="15.75" customHeight="1">
      <c r="A8" s="44">
        <v>7</v>
      </c>
      <c r="B8" s="45">
        <v>44838.415461736113</v>
      </c>
      <c r="C8" s="46" t="s">
        <v>95</v>
      </c>
      <c r="D8" s="46" t="s">
        <v>94</v>
      </c>
      <c r="E8" s="47">
        <v>261200</v>
      </c>
      <c r="F8" s="29">
        <f t="shared" si="6"/>
        <v>2</v>
      </c>
      <c r="G8" s="29">
        <f t="shared" si="7"/>
        <v>6</v>
      </c>
      <c r="H8" s="29">
        <f t="shared" si="8"/>
        <v>1</v>
      </c>
      <c r="I8" s="29">
        <f t="shared" si="3"/>
        <v>2</v>
      </c>
      <c r="J8" s="29">
        <f t="shared" si="4"/>
        <v>0</v>
      </c>
      <c r="K8" s="29">
        <f t="shared" si="5"/>
        <v>0</v>
      </c>
      <c r="L8" s="46" t="s">
        <v>85</v>
      </c>
      <c r="M8" s="31">
        <f t="shared" si="9"/>
        <v>0</v>
      </c>
      <c r="N8" s="31">
        <f t="shared" si="10"/>
        <v>1</v>
      </c>
      <c r="O8" s="31">
        <f t="shared" si="11"/>
        <v>1</v>
      </c>
      <c r="P8" s="31">
        <f t="shared" si="12"/>
        <v>0</v>
      </c>
      <c r="Q8" s="31">
        <f t="shared" si="13"/>
        <v>-1</v>
      </c>
      <c r="R8" s="31">
        <f t="shared" si="14"/>
        <v>0</v>
      </c>
      <c r="S8" s="46" t="s">
        <v>76</v>
      </c>
      <c r="T8" s="33">
        <v>1</v>
      </c>
      <c r="U8" s="46" t="s">
        <v>75</v>
      </c>
      <c r="V8" s="31">
        <f t="shared" si="15"/>
        <v>1</v>
      </c>
      <c r="W8" s="31">
        <f t="shared" si="16"/>
        <v>1</v>
      </c>
      <c r="X8" s="31">
        <f t="shared" si="17"/>
        <v>0</v>
      </c>
      <c r="Y8" s="31">
        <f t="shared" si="18"/>
        <v>0</v>
      </c>
      <c r="Z8" s="31">
        <f t="shared" si="19"/>
        <v>0</v>
      </c>
      <c r="AA8" s="31">
        <f t="shared" si="20"/>
        <v>0</v>
      </c>
      <c r="AB8" s="46" t="s">
        <v>93</v>
      </c>
      <c r="AC8" s="34">
        <f t="shared" si="29"/>
        <v>84.1244260279434</v>
      </c>
      <c r="AD8" s="32" t="s">
        <v>36</v>
      </c>
      <c r="AE8" s="33">
        <v>1</v>
      </c>
      <c r="AF8" s="46" t="s">
        <v>92</v>
      </c>
      <c r="AG8" s="34">
        <f t="shared" si="21"/>
        <v>61.8</v>
      </c>
      <c r="AH8" s="32" t="s">
        <v>40</v>
      </c>
      <c r="AI8" s="33">
        <v>1</v>
      </c>
      <c r="AJ8" s="46" t="s">
        <v>91</v>
      </c>
      <c r="AK8" s="34">
        <f t="shared" si="22"/>
        <v>64.860445661179455</v>
      </c>
      <c r="AL8" s="32" t="s">
        <v>40</v>
      </c>
      <c r="AM8" s="33">
        <v>1</v>
      </c>
      <c r="AN8" s="46" t="s">
        <v>90</v>
      </c>
      <c r="AO8" s="34">
        <f t="shared" si="23"/>
        <v>85.382590285817258</v>
      </c>
      <c r="AP8" s="32" t="s">
        <v>40</v>
      </c>
      <c r="AQ8" s="33">
        <v>-1</v>
      </c>
      <c r="AR8" s="46" t="s">
        <v>89</v>
      </c>
      <c r="AS8" s="48">
        <f t="shared" si="24"/>
        <v>0.2</v>
      </c>
      <c r="AT8" s="48">
        <f t="shared" si="25"/>
        <v>5.0000000000000001E-4</v>
      </c>
      <c r="AU8" s="48">
        <f t="shared" si="26"/>
        <v>9.9999999999999991E-5</v>
      </c>
      <c r="AV8" s="48">
        <f t="shared" si="27"/>
        <v>2.9999999999999999E-7</v>
      </c>
      <c r="AW8" s="33">
        <v>4</v>
      </c>
      <c r="AX8" s="50">
        <f t="shared" si="28"/>
        <v>10</v>
      </c>
    </row>
    <row r="9" spans="1:50" ht="15.75" customHeight="1">
      <c r="A9" s="44">
        <v>8</v>
      </c>
      <c r="B9" s="45">
        <v>44838.41595613426</v>
      </c>
      <c r="C9" s="46" t="s">
        <v>88</v>
      </c>
      <c r="D9" s="46" t="s">
        <v>87</v>
      </c>
      <c r="E9" s="51" t="s">
        <v>86</v>
      </c>
      <c r="F9" s="29">
        <f t="shared" si="6"/>
        <v>0</v>
      </c>
      <c r="G9" s="29">
        <f t="shared" si="7"/>
        <v>2</v>
      </c>
      <c r="H9" s="29">
        <f t="shared" si="8"/>
        <v>0</v>
      </c>
      <c r="I9" s="29">
        <f t="shared" si="3"/>
        <v>2</v>
      </c>
      <c r="J9" s="29">
        <f t="shared" si="4"/>
        <v>0</v>
      </c>
      <c r="K9" s="29">
        <f t="shared" si="5"/>
        <v>0</v>
      </c>
      <c r="L9" s="46" t="s">
        <v>85</v>
      </c>
      <c r="M9" s="31">
        <f t="shared" si="9"/>
        <v>0</v>
      </c>
      <c r="N9" s="31">
        <f t="shared" si="10"/>
        <v>1</v>
      </c>
      <c r="O9" s="31">
        <f t="shared" si="11"/>
        <v>1</v>
      </c>
      <c r="P9" s="31">
        <f t="shared" si="12"/>
        <v>0</v>
      </c>
      <c r="Q9" s="31">
        <f t="shared" si="13"/>
        <v>-1</v>
      </c>
      <c r="R9" s="31">
        <f t="shared" si="14"/>
        <v>0</v>
      </c>
      <c r="S9" s="46" t="s">
        <v>76</v>
      </c>
      <c r="T9" s="33">
        <v>1</v>
      </c>
      <c r="U9" s="46" t="s">
        <v>75</v>
      </c>
      <c r="V9" s="31">
        <f t="shared" si="15"/>
        <v>1</v>
      </c>
      <c r="W9" s="31">
        <f t="shared" si="16"/>
        <v>1</v>
      </c>
      <c r="X9" s="31">
        <f t="shared" si="17"/>
        <v>0</v>
      </c>
      <c r="Y9" s="31">
        <f t="shared" si="18"/>
        <v>0</v>
      </c>
      <c r="Z9" s="31">
        <f t="shared" si="19"/>
        <v>0</v>
      </c>
      <c r="AA9" s="31">
        <f t="shared" si="20"/>
        <v>0</v>
      </c>
      <c r="AB9" s="46" t="s">
        <v>84</v>
      </c>
      <c r="AC9" s="34">
        <f t="shared" si="29"/>
        <v>84.1244260279434</v>
      </c>
      <c r="AD9" s="32" t="s">
        <v>36</v>
      </c>
      <c r="AE9" s="33">
        <v>1</v>
      </c>
      <c r="AF9" s="46" t="s">
        <v>83</v>
      </c>
      <c r="AG9" s="34">
        <f t="shared" si="21"/>
        <v>61.8</v>
      </c>
      <c r="AH9" s="32" t="s">
        <v>40</v>
      </c>
      <c r="AI9" s="33">
        <v>1</v>
      </c>
      <c r="AJ9" s="46" t="s">
        <v>82</v>
      </c>
      <c r="AK9" s="34">
        <f t="shared" si="22"/>
        <v>64.860445661179455</v>
      </c>
      <c r="AL9" s="32" t="s">
        <v>40</v>
      </c>
      <c r="AM9" s="33">
        <v>1</v>
      </c>
      <c r="AN9" s="46" t="s">
        <v>81</v>
      </c>
      <c r="AO9" s="34">
        <f t="shared" si="23"/>
        <v>83.136991167960474</v>
      </c>
      <c r="AP9" s="32" t="s">
        <v>40</v>
      </c>
      <c r="AQ9" s="33">
        <v>-1</v>
      </c>
      <c r="AR9" s="46" t="s">
        <v>80</v>
      </c>
      <c r="AS9" s="48">
        <f t="shared" si="24"/>
        <v>0.2</v>
      </c>
      <c r="AT9" s="48">
        <f t="shared" si="25"/>
        <v>5.0000000000000001E-4</v>
      </c>
      <c r="AU9" s="48">
        <f t="shared" si="26"/>
        <v>9.9999999999999991E-5</v>
      </c>
      <c r="AV9" s="46">
        <f t="shared" si="27"/>
        <v>2.9999999999999999E-7</v>
      </c>
      <c r="AW9" s="33">
        <v>3</v>
      </c>
      <c r="AX9" s="50">
        <f t="shared" si="28"/>
        <v>9</v>
      </c>
    </row>
    <row r="10" spans="1:50" ht="15.75" customHeight="1" thickBot="1">
      <c r="A10" s="53">
        <v>9</v>
      </c>
      <c r="B10" s="54">
        <v>44838.418907951389</v>
      </c>
      <c r="C10" s="55" t="s">
        <v>79</v>
      </c>
      <c r="D10" s="55" t="s">
        <v>78</v>
      </c>
      <c r="E10" s="56">
        <v>340594</v>
      </c>
      <c r="F10" s="57">
        <f t="shared" si="6"/>
        <v>3</v>
      </c>
      <c r="G10" s="57">
        <f t="shared" si="7"/>
        <v>4</v>
      </c>
      <c r="H10" s="57">
        <f t="shared" si="8"/>
        <v>0</v>
      </c>
      <c r="I10" s="57">
        <f t="shared" si="3"/>
        <v>5</v>
      </c>
      <c r="J10" s="57">
        <f t="shared" si="4"/>
        <v>9</v>
      </c>
      <c r="K10" s="57">
        <f t="shared" si="5"/>
        <v>4</v>
      </c>
      <c r="L10" s="55" t="s">
        <v>77</v>
      </c>
      <c r="M10" s="13">
        <f t="shared" si="9"/>
        <v>-1</v>
      </c>
      <c r="N10" s="13">
        <f t="shared" si="10"/>
        <v>0</v>
      </c>
      <c r="O10" s="13">
        <f t="shared" si="11"/>
        <v>1</v>
      </c>
      <c r="P10" s="13">
        <f t="shared" si="12"/>
        <v>0</v>
      </c>
      <c r="Q10" s="13">
        <f t="shared" si="13"/>
        <v>0</v>
      </c>
      <c r="R10" s="13">
        <f t="shared" si="14"/>
        <v>1</v>
      </c>
      <c r="S10" s="55" t="s">
        <v>76</v>
      </c>
      <c r="T10" s="58">
        <v>1</v>
      </c>
      <c r="U10" s="55" t="s">
        <v>75</v>
      </c>
      <c r="V10" s="13">
        <f t="shared" si="15"/>
        <v>1</v>
      </c>
      <c r="W10" s="13">
        <f t="shared" si="16"/>
        <v>1</v>
      </c>
      <c r="X10" s="13">
        <f t="shared" si="17"/>
        <v>0</v>
      </c>
      <c r="Y10" s="13">
        <f t="shared" si="18"/>
        <v>0</v>
      </c>
      <c r="Z10" s="13">
        <f t="shared" si="19"/>
        <v>0</v>
      </c>
      <c r="AA10" s="13">
        <f t="shared" si="20"/>
        <v>0</v>
      </c>
      <c r="AB10" s="55" t="s">
        <v>74</v>
      </c>
      <c r="AC10" s="59">
        <f t="shared" si="29"/>
        <v>90.455404631092961</v>
      </c>
      <c r="AD10" s="60" t="s">
        <v>36</v>
      </c>
      <c r="AE10" s="58">
        <v>1</v>
      </c>
      <c r="AF10" s="61"/>
      <c r="AG10" s="59">
        <f t="shared" si="21"/>
        <v>65.8</v>
      </c>
      <c r="AH10" s="60" t="s">
        <v>40</v>
      </c>
      <c r="AI10" s="58">
        <v>0</v>
      </c>
      <c r="AJ10" s="55" t="s">
        <v>73</v>
      </c>
      <c r="AK10" s="59">
        <f t="shared" si="22"/>
        <v>67.823568543263619</v>
      </c>
      <c r="AL10" s="60" t="s">
        <v>40</v>
      </c>
      <c r="AM10" s="58">
        <v>1</v>
      </c>
      <c r="AN10" s="55" t="s">
        <v>72</v>
      </c>
      <c r="AO10" s="59">
        <f t="shared" si="23"/>
        <v>86.385752512355921</v>
      </c>
      <c r="AP10" s="60" t="s">
        <v>40</v>
      </c>
      <c r="AQ10" s="58">
        <v>-1</v>
      </c>
      <c r="AR10" s="55" t="s">
        <v>71</v>
      </c>
      <c r="AS10" s="62">
        <f t="shared" si="24"/>
        <v>0.56367658625289196</v>
      </c>
      <c r="AT10" s="62">
        <f t="shared" si="25"/>
        <v>1.4091914656322296E-3</v>
      </c>
      <c r="AU10" s="62">
        <f t="shared" si="26"/>
        <v>7.9432823472428457E-4</v>
      </c>
      <c r="AV10" s="62">
        <f t="shared" si="27"/>
        <v>2.3829847041728535E-6</v>
      </c>
      <c r="AW10" s="58">
        <v>4</v>
      </c>
      <c r="AX10" s="63">
        <f>SUM(M10:R10)+T10+SUM(V10:AA10)+AE10+AI10+AM10+AQ10+AW10</f>
        <v>9</v>
      </c>
    </row>
    <row r="11" spans="1:50" ht="15.75" customHeight="1" thickTop="1"/>
  </sheetData>
  <conditionalFormatting sqref="M1:R1">
    <cfRule type="aboveAverage" dxfId="64" priority="36" aboveAverage="0"/>
    <cfRule type="aboveAverage" dxfId="63" priority="37"/>
  </conditionalFormatting>
  <conditionalFormatting sqref="M2:R10">
    <cfRule type="aboveAverage" dxfId="62" priority="34" aboveAverage="0"/>
    <cfRule type="aboveAverage" dxfId="61" priority="35"/>
  </conditionalFormatting>
  <conditionalFormatting sqref="M2:R10">
    <cfRule type="cellIs" dxfId="60" priority="33" operator="equal">
      <formula>0</formula>
    </cfRule>
  </conditionalFormatting>
  <conditionalFormatting sqref="V1:AA1">
    <cfRule type="aboveAverage" dxfId="59" priority="25" aboveAverage="0"/>
    <cfRule type="aboveAverage" dxfId="58" priority="26"/>
  </conditionalFormatting>
  <conditionalFormatting sqref="V2:AA10">
    <cfRule type="aboveAverage" dxfId="57" priority="23" aboveAverage="0"/>
    <cfRule type="aboveAverage" dxfId="56" priority="24"/>
  </conditionalFormatting>
  <conditionalFormatting sqref="V2:AA10">
    <cfRule type="cellIs" dxfId="55" priority="22" operator="equal">
      <formula>0</formula>
    </cfRule>
  </conditionalFormatting>
  <conditionalFormatting sqref="AE2:AE10">
    <cfRule type="cellIs" dxfId="54" priority="17" operator="equal">
      <formula>-1</formula>
    </cfRule>
    <cfRule type="cellIs" dxfId="53" priority="18" operator="equal">
      <formula>1</formula>
    </cfRule>
  </conditionalFormatting>
  <conditionalFormatting sqref="AE2:AE10">
    <cfRule type="cellIs" dxfId="52" priority="16" operator="equal">
      <formula>0</formula>
    </cfRule>
  </conditionalFormatting>
  <conditionalFormatting sqref="AI2:AI10">
    <cfRule type="cellIs" dxfId="51" priority="14" operator="equal">
      <formula>-1</formula>
    </cfRule>
    <cfRule type="cellIs" dxfId="50" priority="15" operator="equal">
      <formula>1</formula>
    </cfRule>
  </conditionalFormatting>
  <conditionalFormatting sqref="AI2:AI10">
    <cfRule type="cellIs" dxfId="49" priority="13" operator="equal">
      <formula>0</formula>
    </cfRule>
  </conditionalFormatting>
  <conditionalFormatting sqref="T2:T10">
    <cfRule type="cellIs" dxfId="48" priority="11" operator="equal">
      <formula>-1</formula>
    </cfRule>
    <cfRule type="cellIs" dxfId="47" priority="12" operator="equal">
      <formula>1</formula>
    </cfRule>
  </conditionalFormatting>
  <conditionalFormatting sqref="T2:T10">
    <cfRule type="cellIs" dxfId="46" priority="10" operator="equal">
      <formula>0</formula>
    </cfRule>
  </conditionalFormatting>
  <conditionalFormatting sqref="AM2:AM10">
    <cfRule type="cellIs" dxfId="45" priority="8" operator="equal">
      <formula>-1</formula>
    </cfRule>
    <cfRule type="cellIs" dxfId="44" priority="9" operator="equal">
      <formula>1</formula>
    </cfRule>
  </conditionalFormatting>
  <conditionalFormatting sqref="AM2:AM10">
    <cfRule type="cellIs" dxfId="43" priority="7" operator="equal">
      <formula>0</formula>
    </cfRule>
  </conditionalFormatting>
  <conditionalFormatting sqref="AQ2:AQ10">
    <cfRule type="cellIs" dxfId="42" priority="5" operator="equal">
      <formula>-1</formula>
    </cfRule>
    <cfRule type="cellIs" dxfId="41" priority="6" operator="equal">
      <formula>1</formula>
    </cfRule>
  </conditionalFormatting>
  <conditionalFormatting sqref="AQ2:AQ10">
    <cfRule type="cellIs" dxfId="40" priority="4" operator="equal">
      <formula>0</formula>
    </cfRule>
  </conditionalFormatting>
  <conditionalFormatting sqref="AW2:AW10">
    <cfRule type="cellIs" dxfId="39" priority="2" operator="equal">
      <formula>-1</formula>
    </cfRule>
    <cfRule type="cellIs" dxfId="37" priority="3" operator="greaterThanOrEqual">
      <formula>1</formula>
    </cfRule>
  </conditionalFormatting>
  <conditionalFormatting sqref="AW2:AW10">
    <cfRule type="cellIs" dxfId="38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Solution</vt:lpstr>
      <vt:lpstr>Test-2022-10-04</vt:lpstr>
      <vt:lpstr>A</vt:lpstr>
      <vt:lpstr>B</vt:lpstr>
      <vt:lpstr>CC</vt:lpstr>
      <vt:lpstr>D</vt:lpstr>
      <vt:lpstr>E</vt:lpstr>
      <vt:lpstr>F</vt:lpstr>
      <vt:lpstr>SPL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2022-10-04T07:12:21Z</dcterms:created>
  <dcterms:modified xsi:type="dcterms:W3CDTF">2022-10-14T08:15:35Z</dcterms:modified>
</cp:coreProperties>
</file>