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Farina\Corsi\Applied-Acoustics\2022\Tests\"/>
    </mc:Choice>
  </mc:AlternateContent>
  <xr:revisionPtr revIDLastSave="0" documentId="13_ncr:1_{1DE7F202-0B84-4263-9998-382754E46D51}" xr6:coauthVersionLast="47" xr6:coauthVersionMax="47" xr10:uidLastSave="{00000000-0000-0000-0000-000000000000}"/>
  <bookViews>
    <workbookView xWindow="-3520" yWindow="-15087" windowWidth="24827" windowHeight="14980" xr2:uid="{96E5DDD3-6312-4AB6-9A2A-FA0AB638A90B}"/>
  </bookViews>
  <sheets>
    <sheet name="Solution" sheetId="1" r:id="rId1"/>
    <sheet name="Test-2022-11-28" sheetId="2" r:id="rId2"/>
  </sheets>
  <definedNames>
    <definedName name="A">Solution!$A$5</definedName>
    <definedName name="B">Solution!$B$5</definedName>
    <definedName name="CC">Solution!$C$5</definedName>
    <definedName name="D">Solution!$D$5</definedName>
    <definedName name="E">Solution!$E$5</definedName>
    <definedName name="F">Solution!$F$5</definedName>
    <definedName name="Lbgnd">Solution!$B$37</definedName>
    <definedName name="Ld">Solution!$E$57</definedName>
    <definedName name="Lep_punches">Solution!$K$50</definedName>
    <definedName name="Leq_air">Solution!$J$38</definedName>
    <definedName name="Leq_factpry">Solution!$C$52</definedName>
    <definedName name="Li">Solution!$C$55</definedName>
    <definedName name="Lp">Solution!$G$55</definedName>
    <definedName name="Lv">Solution!$K$55</definedName>
    <definedName name="N">Solution!$E$37</definedName>
    <definedName name="N_punches">Solution!$G$50</definedName>
    <definedName name="Nseats">Solution!$B$64</definedName>
    <definedName name="rE">Solution!$J$57</definedName>
    <definedName name="SEL_1air">Solution!$I$37</definedName>
    <definedName name="SEL_1punch">Solution!$C$50</definedName>
    <definedName name="Te">Solution!$E$63</definedName>
    <definedName name="Ts">Solution!$H$63</definedName>
    <definedName name="V">Solution!$B$63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2" l="1"/>
  <c r="AU6" i="2"/>
  <c r="AU10" i="2"/>
  <c r="AU8" i="2"/>
  <c r="AU7" i="2"/>
  <c r="AU5" i="2"/>
  <c r="AU4" i="2"/>
  <c r="AU3" i="2"/>
  <c r="AU2" i="2"/>
  <c r="AR3" i="2"/>
  <c r="AR4" i="2"/>
  <c r="AR5" i="2"/>
  <c r="AR6" i="2"/>
  <c r="AR7" i="2"/>
  <c r="AR8" i="2"/>
  <c r="AR9" i="2"/>
  <c r="AR10" i="2"/>
  <c r="AR2" i="2"/>
  <c r="H68" i="1"/>
  <c r="AO3" i="2"/>
  <c r="AO4" i="2"/>
  <c r="AO5" i="2"/>
  <c r="AO6" i="2"/>
  <c r="AO7" i="2"/>
  <c r="AO8" i="2"/>
  <c r="AO9" i="2"/>
  <c r="AO10" i="2"/>
  <c r="AO2" i="2"/>
  <c r="T3" i="2"/>
  <c r="U3" i="2"/>
  <c r="V3" i="2"/>
  <c r="W3" i="2"/>
  <c r="X3" i="2"/>
  <c r="Y3" i="2"/>
  <c r="T4" i="2"/>
  <c r="U4" i="2"/>
  <c r="V4" i="2"/>
  <c r="W4" i="2"/>
  <c r="X4" i="2"/>
  <c r="Y4" i="2"/>
  <c r="T5" i="2"/>
  <c r="U5" i="2"/>
  <c r="V5" i="2"/>
  <c r="W5" i="2"/>
  <c r="X5" i="2"/>
  <c r="Y5" i="2"/>
  <c r="T6" i="2"/>
  <c r="U6" i="2"/>
  <c r="V6" i="2"/>
  <c r="W6" i="2"/>
  <c r="X6" i="2"/>
  <c r="Y6" i="2"/>
  <c r="T7" i="2"/>
  <c r="U7" i="2"/>
  <c r="V7" i="2"/>
  <c r="W7" i="2"/>
  <c r="X7" i="2"/>
  <c r="Y7" i="2"/>
  <c r="T8" i="2"/>
  <c r="U8" i="2"/>
  <c r="V8" i="2"/>
  <c r="W8" i="2"/>
  <c r="X8" i="2"/>
  <c r="Y8" i="2"/>
  <c r="T9" i="2"/>
  <c r="U9" i="2"/>
  <c r="V9" i="2"/>
  <c r="W9" i="2"/>
  <c r="X9" i="2"/>
  <c r="Y9" i="2"/>
  <c r="T10" i="2"/>
  <c r="U10" i="2"/>
  <c r="V10" i="2"/>
  <c r="W10" i="2"/>
  <c r="X10" i="2"/>
  <c r="Y10" i="2"/>
  <c r="Y2" i="2"/>
  <c r="X2" i="2"/>
  <c r="W2" i="2"/>
  <c r="V2" i="2"/>
  <c r="U2" i="2"/>
  <c r="T2" i="2"/>
  <c r="R10" i="2"/>
  <c r="Q10" i="2"/>
  <c r="P10" i="2"/>
  <c r="O10" i="2"/>
  <c r="N10" i="2"/>
  <c r="M10" i="2"/>
  <c r="R9" i="2"/>
  <c r="Q9" i="2"/>
  <c r="P9" i="2"/>
  <c r="O9" i="2"/>
  <c r="N9" i="2"/>
  <c r="M9" i="2"/>
  <c r="R8" i="2"/>
  <c r="Q8" i="2"/>
  <c r="P8" i="2"/>
  <c r="O8" i="2"/>
  <c r="N8" i="2"/>
  <c r="M8" i="2"/>
  <c r="R7" i="2"/>
  <c r="Q7" i="2"/>
  <c r="P7" i="2"/>
  <c r="O7" i="2"/>
  <c r="N7" i="2"/>
  <c r="M7" i="2"/>
  <c r="R6" i="2"/>
  <c r="Q6" i="2"/>
  <c r="P6" i="2"/>
  <c r="O6" i="2"/>
  <c r="N6" i="2"/>
  <c r="M6" i="2"/>
  <c r="R5" i="2"/>
  <c r="Q5" i="2"/>
  <c r="P5" i="2"/>
  <c r="O5" i="2"/>
  <c r="N5" i="2"/>
  <c r="M5" i="2"/>
  <c r="R4" i="2"/>
  <c r="Q4" i="2"/>
  <c r="P4" i="2"/>
  <c r="O4" i="2"/>
  <c r="N4" i="2"/>
  <c r="M4" i="2"/>
  <c r="R3" i="2"/>
  <c r="Q3" i="2"/>
  <c r="P3" i="2"/>
  <c r="O3" i="2"/>
  <c r="N3" i="2"/>
  <c r="M3" i="2"/>
  <c r="R2" i="2"/>
  <c r="Q2" i="2"/>
  <c r="P2" i="2"/>
  <c r="O2" i="2"/>
  <c r="N2" i="2"/>
  <c r="M2" i="2"/>
  <c r="F10" i="2"/>
  <c r="F9" i="2"/>
  <c r="F8" i="2"/>
  <c r="G8" i="2" s="1"/>
  <c r="F7" i="2"/>
  <c r="F6" i="2"/>
  <c r="F5" i="2"/>
  <c r="F4" i="2"/>
  <c r="F3" i="2"/>
  <c r="F2" i="2"/>
  <c r="G3" i="2" l="1"/>
  <c r="H8" i="2"/>
  <c r="H3" i="2"/>
  <c r="G6" i="2"/>
  <c r="H6" i="2" s="1"/>
  <c r="I6" i="2" s="1"/>
  <c r="J6" i="2" s="1"/>
  <c r="G9" i="2"/>
  <c r="G4" i="2"/>
  <c r="H4" i="2" s="1"/>
  <c r="G7" i="2"/>
  <c r="H7" i="2" s="1"/>
  <c r="G2" i="2"/>
  <c r="G10" i="2"/>
  <c r="G5" i="2"/>
  <c r="I4" i="2" l="1"/>
  <c r="H2" i="2"/>
  <c r="I2" i="2" s="1"/>
  <c r="J4" i="2"/>
  <c r="H9" i="2"/>
  <c r="I9" i="2" s="1"/>
  <c r="J9" i="2" s="1"/>
  <c r="H5" i="2"/>
  <c r="I3" i="2"/>
  <c r="J3" i="2" s="1"/>
  <c r="K6" i="2"/>
  <c r="AC6" i="2" s="1"/>
  <c r="I8" i="2"/>
  <c r="J8" i="2" s="1"/>
  <c r="H10" i="2"/>
  <c r="I10" i="2" s="1"/>
  <c r="I7" i="2"/>
  <c r="J7" i="2" s="1"/>
  <c r="AK6" i="2" l="1"/>
  <c r="K8" i="2"/>
  <c r="K4" i="2"/>
  <c r="AC4" i="2" s="1"/>
  <c r="AG4" i="2"/>
  <c r="K3" i="2"/>
  <c r="AC3" i="2" s="1"/>
  <c r="AG6" i="2"/>
  <c r="J2" i="2"/>
  <c r="I5" i="2"/>
  <c r="J5" i="2" s="1"/>
  <c r="K9" i="2"/>
  <c r="AC9" i="2" s="1"/>
  <c r="K7" i="2"/>
  <c r="AC7" i="2" s="1"/>
  <c r="J10" i="2"/>
  <c r="AC8" i="2" l="1"/>
  <c r="AK3" i="2"/>
  <c r="AK9" i="2"/>
  <c r="AK4" i="2"/>
  <c r="AK8" i="2"/>
  <c r="AK7" i="2"/>
  <c r="K10" i="2"/>
  <c r="AC10" i="2" s="1"/>
  <c r="AG10" i="2"/>
  <c r="K2" i="2"/>
  <c r="AC2" i="2" s="1"/>
  <c r="AG3" i="2"/>
  <c r="AG9" i="2"/>
  <c r="AG8" i="2"/>
  <c r="AG7" i="2"/>
  <c r="K5" i="2"/>
  <c r="AC5" i="2" s="1"/>
  <c r="AK5" i="2" l="1"/>
  <c r="AK2" i="2"/>
  <c r="AK10" i="2"/>
  <c r="AG5" i="2"/>
  <c r="AG2" i="2"/>
  <c r="E43" i="1"/>
  <c r="H63" i="1"/>
  <c r="E63" i="1"/>
  <c r="B63" i="1"/>
  <c r="G50" i="1"/>
  <c r="C50" i="1"/>
  <c r="D44" i="1"/>
  <c r="D45" i="1" s="1"/>
  <c r="C44" i="1"/>
  <c r="C45" i="1" s="1"/>
  <c r="B44" i="1"/>
  <c r="B45" i="1" s="1"/>
  <c r="I37" i="1"/>
  <c r="E37" i="1"/>
  <c r="B37" i="1"/>
  <c r="C55" i="1"/>
  <c r="K55" i="1" s="1"/>
  <c r="H67" i="1" l="1"/>
  <c r="G51" i="1"/>
  <c r="C52" i="1" s="1"/>
  <c r="F52" i="1" s="1"/>
  <c r="J38" i="1"/>
  <c r="F39" i="1" s="1"/>
  <c r="K50" i="1"/>
  <c r="F46" i="1"/>
  <c r="B46" i="1"/>
  <c r="G55" i="1"/>
  <c r="E57" i="1" s="1"/>
  <c r="J57" i="1" s="1"/>
  <c r="F59" i="1" s="1"/>
  <c r="J59" i="1" s="1"/>
  <c r="J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Angelo Farina</author>
  </authors>
  <commentList>
    <comment ref="AC2" authorId="0" shapeId="0" xr:uid="{2B2F80EE-CA1E-460A-B703-135C99625C0D}">
      <text>
        <r>
          <rPr>
            <b/>
            <sz val="9"/>
            <color indexed="81"/>
            <rFont val="Tahoma"/>
            <family val="2"/>
          </rPr>
          <t>Angelo Farina:</t>
        </r>
        <r>
          <rPr>
            <sz val="9"/>
            <color indexed="81"/>
            <rFont val="Tahoma"/>
            <family val="2"/>
          </rPr>
          <t xml:space="preserve">
</t>
        </r>
      </text>
    </comment>
    <comment ref="AG2" authorId="0" shapeId="0" xr:uid="{6A468A1F-1166-4DD0-B12B-88DDB97DEDB7}">
      <text>
        <r>
          <rPr>
            <b/>
            <sz val="9"/>
            <color indexed="81"/>
            <rFont val="Tahoma"/>
            <family val="2"/>
          </rPr>
          <t>Angelo Farina:</t>
        </r>
        <r>
          <rPr>
            <sz val="9"/>
            <color indexed="81"/>
            <rFont val="Tahoma"/>
            <family val="2"/>
          </rPr>
          <t xml:space="preserve">
</t>
        </r>
      </text>
    </comment>
    <comment ref="AC3" authorId="0" shapeId="0" xr:uid="{1A3FC523-3141-4A64-A7DF-992C1542CC84}">
      <text>
        <r>
          <rPr>
            <b/>
            <sz val="9"/>
            <color indexed="81"/>
            <rFont val="Tahoma"/>
            <family val="2"/>
          </rPr>
          <t>Angelo Farina:</t>
        </r>
        <r>
          <rPr>
            <sz val="9"/>
            <color indexed="81"/>
            <rFont val="Tahoma"/>
            <family val="2"/>
          </rPr>
          <t xml:space="preserve">
</t>
        </r>
      </text>
    </comment>
    <comment ref="AC4" authorId="0" shapeId="0" xr:uid="{3A89F615-8CA1-4404-AA34-1E8BF2549469}">
      <text>
        <r>
          <rPr>
            <b/>
            <sz val="9"/>
            <color indexed="81"/>
            <rFont val="Tahoma"/>
            <family val="2"/>
          </rPr>
          <t>Angelo Farina:</t>
        </r>
        <r>
          <rPr>
            <sz val="9"/>
            <color indexed="81"/>
            <rFont val="Tahoma"/>
            <family val="2"/>
          </rPr>
          <t xml:space="preserve">
</t>
        </r>
      </text>
    </comment>
    <comment ref="AC5" authorId="0" shapeId="0" xr:uid="{909CA24D-CD4F-42E6-829F-8BAE8589DB89}">
      <text>
        <r>
          <rPr>
            <b/>
            <sz val="9"/>
            <color indexed="81"/>
            <rFont val="Tahoma"/>
            <family val="2"/>
          </rPr>
          <t>Angelo Farina:</t>
        </r>
        <r>
          <rPr>
            <sz val="9"/>
            <color indexed="81"/>
            <rFont val="Tahoma"/>
            <family val="2"/>
          </rPr>
          <t xml:space="preserve">
</t>
        </r>
      </text>
    </comment>
    <comment ref="AC6" authorId="0" shapeId="0" xr:uid="{B7E3CCC4-E3E8-444A-99C9-E5B9E3D39B6A}">
      <text>
        <r>
          <rPr>
            <b/>
            <sz val="9"/>
            <color indexed="81"/>
            <rFont val="Tahoma"/>
            <family val="2"/>
          </rPr>
          <t>Angelo Farina:</t>
        </r>
        <r>
          <rPr>
            <sz val="9"/>
            <color indexed="81"/>
            <rFont val="Tahoma"/>
            <family val="2"/>
          </rPr>
          <t xml:space="preserve">
</t>
        </r>
      </text>
    </comment>
    <comment ref="AC7" authorId="0" shapeId="0" xr:uid="{D04F3E96-934A-45C2-B499-A2DE7A09FC73}">
      <text>
        <r>
          <rPr>
            <b/>
            <sz val="9"/>
            <color indexed="81"/>
            <rFont val="Tahoma"/>
            <family val="2"/>
          </rPr>
          <t>Angelo Farina:</t>
        </r>
        <r>
          <rPr>
            <sz val="9"/>
            <color indexed="81"/>
            <rFont val="Tahoma"/>
            <family val="2"/>
          </rPr>
          <t xml:space="preserve">
</t>
        </r>
      </text>
    </comment>
    <comment ref="AC8" authorId="0" shapeId="0" xr:uid="{42C2511F-657D-45DF-BE35-AFB58830063C}">
      <text>
        <r>
          <rPr>
            <b/>
            <sz val="9"/>
            <color indexed="81"/>
            <rFont val="Tahoma"/>
            <family val="2"/>
          </rPr>
          <t>Angelo Farina:</t>
        </r>
        <r>
          <rPr>
            <sz val="9"/>
            <color indexed="81"/>
            <rFont val="Tahoma"/>
            <family val="2"/>
          </rPr>
          <t xml:space="preserve">
</t>
        </r>
      </text>
    </comment>
    <comment ref="AC9" authorId="0" shapeId="0" xr:uid="{DFE9B9F8-9BAE-4193-9EFC-748D3D03D839}">
      <text>
        <r>
          <rPr>
            <b/>
            <sz val="9"/>
            <color indexed="81"/>
            <rFont val="Tahoma"/>
            <family val="2"/>
          </rPr>
          <t>Angelo Farina:</t>
        </r>
        <r>
          <rPr>
            <sz val="9"/>
            <color indexed="81"/>
            <rFont val="Tahoma"/>
            <family val="2"/>
          </rPr>
          <t xml:space="preserve">
</t>
        </r>
      </text>
    </comment>
    <comment ref="AC10" authorId="0" shapeId="0" xr:uid="{1621F566-F931-4DCD-BF5F-22340AEA2A70}">
      <text>
        <r>
          <rPr>
            <b/>
            <sz val="9"/>
            <color indexed="81"/>
            <rFont val="Tahoma"/>
            <family val="2"/>
          </rPr>
          <t>Angelo Farina:</t>
        </r>
        <r>
          <rPr>
            <sz val="9"/>
            <color indexed="81"/>
            <rFont val="Tahoma"/>
            <family val="2"/>
          </rPr>
          <t xml:space="preserve">
</t>
        </r>
      </text>
    </comment>
  </commentList>
</comments>
</file>

<file path=xl/sharedStrings.xml><?xml version="1.0" encoding="utf-8"?>
<sst xmlns="http://schemas.openxmlformats.org/spreadsheetml/2006/main" count="244" uniqueCount="154">
  <si>
    <t>Applied Acoustics - In-Class test - 28/11/2022</t>
  </si>
  <si>
    <t>Matricula</t>
  </si>
  <si>
    <t>A</t>
  </si>
  <si>
    <t>B</t>
  </si>
  <si>
    <t>C</t>
  </si>
  <si>
    <t>D</t>
  </si>
  <si>
    <t>E</t>
  </si>
  <si>
    <t>F</t>
  </si>
  <si>
    <t xml:space="preserve">1. Check the sentences you think are always TRUE </t>
  </si>
  <si>
    <t>multiple answers allowed: for each answer, 1 point if correct, -1 point if wrong, 0 point if "not selected"</t>
  </si>
  <si>
    <r>
      <t xml:space="preserve">2) </t>
    </r>
    <r>
      <rPr>
        <b/>
        <sz val="10"/>
        <color rgb="FF202124"/>
        <rFont val="Calibri"/>
        <family val="2"/>
        <scheme val="minor"/>
      </rPr>
      <t>Check the acoustical parameters which are subjected to the Italian law on building acoustics</t>
    </r>
    <r>
      <rPr>
        <b/>
        <sz val="10"/>
        <color rgb="FF000000"/>
        <rFont val="Calibri"/>
        <family val="2"/>
        <scheme val="minor"/>
      </rPr>
      <t xml:space="preserve"> </t>
    </r>
  </si>
  <si>
    <r>
      <t xml:space="preserve">3) </t>
    </r>
    <r>
      <rPr>
        <b/>
        <sz val="10"/>
        <color rgb="FF202124"/>
        <rFont val="Calibri"/>
        <family val="2"/>
        <scheme val="minor"/>
      </rPr>
      <t>Why can the Sabine's absorption coefficient be greater than 1 when measured according to ISO 354?</t>
    </r>
  </si>
  <si>
    <t>Only one answer allowed, 1 point if correct, -1 if wrong, 0 if no answer</t>
  </si>
  <si>
    <r>
      <t xml:space="preserve">4) </t>
    </r>
    <r>
      <rPr>
        <b/>
        <sz val="10"/>
        <color rgb="FF202124"/>
        <rFont val="Calibri"/>
        <family val="2"/>
        <scheme val="minor"/>
      </rPr>
      <t>During the day period the background noise level is 60+F dB(A). A number N= 100+D*10 aircrafts are passing, each causing, on average, a SEL = 90+E dB(A).</t>
    </r>
  </si>
  <si>
    <r>
      <t>Compute, La,eq,day.</t>
    </r>
    <r>
      <rPr>
        <b/>
        <sz val="10"/>
        <color rgb="FF000000"/>
        <rFont val="Calibri"/>
        <family val="2"/>
        <scheme val="minor"/>
      </rPr>
      <t xml:space="preserve"> </t>
    </r>
  </si>
  <si>
    <t>(write number and measurement unit)</t>
  </si>
  <si>
    <r>
      <t>8) The absorption of 12 seats is measured in a reverberant room having a volume of 200+E*10 m3. The values of Te (empty) is 8+F/10 s, the value of Ts (with the seats) is 3+D/10 s. Compute the equivalent absorption area A of one seat.</t>
    </r>
    <r>
      <rPr>
        <sz val="10"/>
        <color rgb="FF000000"/>
        <rFont val="Calibri"/>
        <family val="2"/>
        <scheme val="minor"/>
      </rPr>
      <t xml:space="preserve"> </t>
    </r>
  </si>
  <si>
    <t>Lv = Li + 2 dB(A) =</t>
  </si>
  <si>
    <t>Li = 70+F dB(A) =</t>
  </si>
  <si>
    <t>Lp = Li+5 dB(A) =</t>
  </si>
  <si>
    <t xml:space="preserve">5) A worker spends his morning shift of 4 hours in a factory with a background noise level of 70+E dB(A). Then he spends one hour in the cafeteria of the factory, with a noise level of 80+D dB(A). Finally, he spends two hours working outdoors, with a noise level of 75+F dB(A). Compute his daily personal exposure level Lep. </t>
  </si>
  <si>
    <t>6) Inside the factory of the previous exercise a new machine is added which punches metal sheets. Each punch produces a SEL of 85+F dB(A) and during the morning shift a number N=130+E punches are done. This punching noise adds to the noise already present. Compute the new value of Lep for the worker of the previous exercise.</t>
  </si>
  <si>
    <t>dB(A)</t>
  </si>
  <si>
    <t>7) Evaluate the absorption coefficient of a noise barrier installed along a road, knowing that a sound intensity probe installed in front of it measures the following levels:</t>
  </si>
  <si>
    <t>Lbgnd =</t>
  </si>
  <si>
    <t>N =</t>
  </si>
  <si>
    <t>aircrafts/day</t>
  </si>
  <si>
    <t>SEL_1air =</t>
  </si>
  <si>
    <t>t (h)</t>
  </si>
  <si>
    <t>Leq (dBA)</t>
  </si>
  <si>
    <t>SEL_1punch =</t>
  </si>
  <si>
    <t>Npunches =</t>
  </si>
  <si>
    <t>V =</t>
  </si>
  <si>
    <t>m3</t>
  </si>
  <si>
    <t>Te =</t>
  </si>
  <si>
    <t>s</t>
  </si>
  <si>
    <t>Ts =</t>
  </si>
  <si>
    <t>Total</t>
  </si>
  <si>
    <r>
      <rPr>
        <sz val="10"/>
        <color rgb="FF202124"/>
        <rFont val="Arial"/>
        <family val="2"/>
      </rPr>
      <t xml:space="preserve">□ </t>
    </r>
    <r>
      <rPr>
        <sz val="10"/>
        <color rgb="FF202124"/>
        <rFont val="Calibri"/>
        <family val="2"/>
        <scheme val="minor"/>
      </rPr>
      <t>In Italian law, absolute noise level limits are set by the municipality depending on the destination of each area (residential, industrial, etc.)</t>
    </r>
  </si>
  <si>
    <t>□ In Italian law, absolute noise limits are to be verified outdoors</t>
  </si>
  <si>
    <t>□ In Italian law, absolute noise level limits are to be verified indoors</t>
  </si>
  <si>
    <t>□ In Italian law, absolute noise level limits are 70 dB(A) day and 60 dB(A) night</t>
  </si>
  <si>
    <t>□ In Italian law, differential noise limits are to be verified only outdoors</t>
  </si>
  <si>
    <t>□ In Italian law, differential noise limits are to be verified only indoors</t>
  </si>
  <si>
    <t>□ The facade sound insulation index D,2m,nT,w</t>
  </si>
  <si>
    <t>□ The apparent sound reduction index of windows and facades R'w,</t>
  </si>
  <si>
    <t>□ The apparent sound reduction index R'w of internal horizontal partitions</t>
  </si>
  <si>
    <t>□ The apparent sound reduction index R'w of internal vertical partitions</t>
  </si>
  <si>
    <t>□ The level of tapping noise normalised to the reverberation time L'n,T,w</t>
  </si>
  <si>
    <t>□ The level of tapping noise normalised to the absorption area L'n,w</t>
  </si>
  <si>
    <t>○ Because the Sabine's formula works correctly only when the absorption is evenly distributed over all the surfaces</t>
  </si>
  <si>
    <t>○ Because the test room is too small</t>
  </si>
  <si>
    <t>○ Because the sample of material being tested is too small</t>
  </si>
  <si>
    <t>○ Because the formula employed in the standard is approximate, as it does not take into account that the sample of material being tested cover a portion of the room's internal surface</t>
  </si>
  <si>
    <t>○ None of the above</t>
  </si>
  <si>
    <t>○ Because of the errors during measurements</t>
  </si>
  <si>
    <t>t =</t>
  </si>
  <si>
    <t>h</t>
  </si>
  <si>
    <t>Leq_air = SEL_1air+10*log10(N)-10*log10(16*3600) =</t>
  </si>
  <si>
    <t>Leq_tot = 10*log10(10^(Lbgnd/10)+10^(Leq_air/10)) =</t>
  </si>
  <si>
    <t>10^(Li/10)</t>
  </si>
  <si>
    <t>Lep =</t>
  </si>
  <si>
    <t>Leq =</t>
  </si>
  <si>
    <t>Leq_punches = SEL_1punch+10*log10(Npunches)-10*log10(4*3600) =</t>
  </si>
  <si>
    <t>Leq_factory =</t>
  </si>
  <si>
    <t>Lep_punches =</t>
  </si>
  <si>
    <t xml:space="preserve">Lep= </t>
  </si>
  <si>
    <t>Method II</t>
  </si>
  <si>
    <t>Ld = 10*log10((10^(Lp/10)+10^(Lv/10))/2) =</t>
  </si>
  <si>
    <t>rE = 10^((Li-Ld)/10) =</t>
  </si>
  <si>
    <t>r = (1-rE)/(1+rE) =</t>
  </si>
  <si>
    <t>Alpha = 1-r =</t>
  </si>
  <si>
    <t>Nseats =</t>
  </si>
  <si>
    <t>m2</t>
  </si>
  <si>
    <t>Atot = Alpha*S = 0.16*V(1(Ts-1/Te) =</t>
  </si>
  <si>
    <t>A_1seat = Atot/Nseats =</t>
  </si>
  <si>
    <t>79.92 dB(A)</t>
  </si>
  <si>
    <t>79.78 dB(A)</t>
  </si>
  <si>
    <t>71.98 dB(A)</t>
  </si>
  <si>
    <t>None of the above</t>
  </si>
  <si>
    <t>The facade sound insulation index D,2m,nT,w, The apparent sound reduction index R'w of internal vertical partitions, The level of tapping noise normalised to the reverberation time L'n,T,w</t>
  </si>
  <si>
    <t>In Italian law, absolute noise level limits are set by the municipality depending on the destination of each area (residential, industrial, etc.), In Italian law, absolute noise limits are to be verified outdoors, In Italian law, differential noise limits are to be verified only indoors</t>
  </si>
  <si>
    <t>Misiano Salvatore</t>
  </si>
  <si>
    <t>salvatore.misiano@unipr.it</t>
  </si>
  <si>
    <t>0.43 m^2</t>
  </si>
  <si>
    <t>81.8 dB(A)</t>
  </si>
  <si>
    <t>81.7 dB(A)</t>
  </si>
  <si>
    <t>70.6 dB(A)</t>
  </si>
  <si>
    <t>Because the Sabine's formula works correctly only when the absorption is evenly distributed over all the surfaces</t>
  </si>
  <si>
    <t>Volpi Filippo</t>
  </si>
  <si>
    <t>filippo.volpi@studenti.unipr.it</t>
  </si>
  <si>
    <t>80.8 dB(A)</t>
  </si>
  <si>
    <t>80.5 dB(A)</t>
  </si>
  <si>
    <t>68.4 dB(A)</t>
  </si>
  <si>
    <t>The facade sound insulation index D,2m,nT,w, The apparent sound reduction index R'w of internal vertical partitions, The level of tapping noise normalised to the absorption area L'n,w</t>
  </si>
  <si>
    <t>Tunnera Nicola</t>
  </si>
  <si>
    <t>nicola.tunnera@studenti.unipr.it</t>
  </si>
  <si>
    <t>A = 0,434</t>
  </si>
  <si>
    <t>Lep = 79,7512 dB(A)</t>
  </si>
  <si>
    <t>La,eq,day = 68,915 dB(A)</t>
  </si>
  <si>
    <t>Because the formula employed in the standard is approximate, as it does not take into account that the sample of material being tested cover a portion of the room's internal surface</t>
  </si>
  <si>
    <t>The facade sound insulation index D,2m,nT,w, The apparent sound reduction index R'w of internal horizontal partitions, The apparent sound reduction index R'w of internal vertical partitions, The level of tapping noise normalised to the reverberation time L'n,T,w</t>
  </si>
  <si>
    <t>In Italian law, absolute noise level limits are set by the municipality depending on the destination of each area (residential, industrial, etc.), In Italian law, absolute noise level limits are to be verified indoors, In Italian law, differential noise limits are to be verified only indoors</t>
  </si>
  <si>
    <t>Sarah FERRO MILON</t>
  </si>
  <si>
    <t>sarah.ferro-milon@student.junia.com</t>
  </si>
  <si>
    <t>0.48 m^2</t>
  </si>
  <si>
    <t>81.34 dB(A)</t>
  </si>
  <si>
    <t>81.28 dB(A)</t>
  </si>
  <si>
    <t>70.89 dB(A)</t>
  </si>
  <si>
    <t>Because the test room is too small</t>
  </si>
  <si>
    <t>Florian BAYLE</t>
  </si>
  <si>
    <t>florian.bayle@studenti.unipr.it</t>
  </si>
  <si>
    <t xml:space="preserve">0,66 </t>
  </si>
  <si>
    <t>76,2 dB</t>
  </si>
  <si>
    <t>Juliette CHEVIGNARD</t>
  </si>
  <si>
    <t>juliette.chevignard@orange.fr</t>
  </si>
  <si>
    <t>0,4 m^2</t>
  </si>
  <si>
    <t>0,62</t>
  </si>
  <si>
    <t>81,5 dB(A)</t>
  </si>
  <si>
    <t>81,3 dB(A)</t>
  </si>
  <si>
    <t>69,7 dB(A)</t>
  </si>
  <si>
    <t>The facade sound insulation index D,2m,nT,w, The level of tapping noise normalised to the absorption area L'n,w</t>
  </si>
  <si>
    <t>Godi Pietro</t>
  </si>
  <si>
    <t>pietro.godi@studenti.unipr.it</t>
  </si>
  <si>
    <t>A= 0,43s</t>
  </si>
  <si>
    <t>Lep= 77,2 DB</t>
  </si>
  <si>
    <t>080500</t>
  </si>
  <si>
    <t>Hugues du Peloux</t>
  </si>
  <si>
    <t>hugues.dplx@gmail.com</t>
  </si>
  <si>
    <t>Lep = 80 dB(A)</t>
  </si>
  <si>
    <t>Leq,day = 73,65 dB(A)</t>
  </si>
  <si>
    <t>In Italian law, absolute noise level limits are 70 dB(A) day and 60 dB(A) night, In Italian law, absolute noise level limits are set by the municipality depending on the destination of each area (residential, industrial, etc.), In Italian law, absolute noise limits are to be verified outdoors, In Italian law, differential noise limits are to be verified only indoors</t>
  </si>
  <si>
    <t>Delvecchio Leonardo</t>
  </si>
  <si>
    <t>leonardo.delvecchio@studenti.unipr.it</t>
  </si>
  <si>
    <t>8) The absorption of 12 seats is measured in a reverberant room having a volume of 200+E*10 m3. The values of Te (empty) is 8+F/10 s, the value of Ts (with the seats) is 3+D/10 s. Compute the equivalent absorption area A of one seat.</t>
  </si>
  <si>
    <t>7) Evaluate the absorption coefficient of a noise barrier installed along a road, knowing that a sound intensity probe installed in front of it measures the following levels:
Li = 70+F dB(A)
Lp = Li+5 dB(A)
Lv = Li + 2 dB(A)</t>
  </si>
  <si>
    <t>6)  Inside the factory of the previous exercise a new machine is added which punches metal sheets. Each punch produces a SEL of 85+F dB(A) and during the morning shift a number N=130+E punches are done. This punching noise adds to the noise already present. Compute the new value of Lep for the worker of the previous exercise.</t>
  </si>
  <si>
    <t>5) A worker spends his morning shift of 4 hours in a factory with a background noise level of 70+E dB(A). Then he spends one hour in the cafeteria of the factory, with a noise level of 80+D dB(A). Finally, he spends two hours working outdoors, with a noise level of 75+F dB(A). Compute his daily personal exposure level Lep.</t>
  </si>
  <si>
    <t>4) During the day period the background noise level is 60+F dB(A). A number N= 100+D*10 aircrafts are passing, each causing, on average, a SEL = 90+E dB(A).
Compute, La,eq,day.</t>
  </si>
  <si>
    <t>3) Why can the Sabine's absorption coefficient be greater than 1 when measured according to ISO 354?</t>
  </si>
  <si>
    <t>2) Check the acoustical parameters which are subjected to the Italian law on building acoustics</t>
  </si>
  <si>
    <t>1) Check the sentences you think are TRUE</t>
  </si>
  <si>
    <t>Surname and Name</t>
  </si>
  <si>
    <t>Email address</t>
  </si>
  <si>
    <t>Timestamp</t>
  </si>
  <si>
    <t>N.</t>
  </si>
  <si>
    <t>Score</t>
  </si>
  <si>
    <t>OK Value</t>
  </si>
  <si>
    <t>OK unit</t>
  </si>
  <si>
    <t>Warnings:</t>
  </si>
  <si>
    <t>Comma instead of decimal dot</t>
  </si>
  <si>
    <t>Wrong unit</t>
  </si>
  <si>
    <r>
      <t>m</t>
    </r>
    <r>
      <rPr>
        <sz val="10"/>
        <color rgb="FF000000"/>
        <rFont val="Arial"/>
        <family val="2"/>
      </rPr>
      <t>²</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</si>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</sst>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yy\ h:mm:ss"/>
    <numFmt numFmtId="166" formatCode="0.000"/>
  </numFmts>
  <fonts count="17" x14ac:knownFonts="1">
    <font>
      <sz val="11"/>
      <color theme="1"/>
      <name val="Calibri"/>
      <family val="2"/>
      <scheme val="minor"/>
    </font>
    <font>
      <b/>
      <sz val="1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0"/>
      <color rgb="FF202124"/>
      <name val="Calibri"/>
      <family val="2"/>
      <scheme val="minor"/>
    </font>
    <font>
      <b/>
      <sz val="10"/>
      <color rgb="FF202124"/>
      <name val="Calibri"/>
      <family val="2"/>
      <scheme val="minor"/>
    </font>
    <font>
      <i/>
      <sz val="10"/>
      <color rgb="FF202124"/>
      <name val="Calibri"/>
      <family val="2"/>
      <scheme val="minor"/>
    </font>
    <font>
      <sz val="10"/>
      <color rgb="FF202124"/>
      <name val="Arial"/>
      <family val="2"/>
    </font>
    <font>
      <sz val="11"/>
      <color rgb="FF0070C0"/>
      <name val="Calibri"/>
      <family val="2"/>
      <scheme val="minor"/>
    </font>
    <font>
      <sz val="10"/>
      <color theme="1"/>
      <name val="Calibri"/>
      <family val="2"/>
      <scheme val="minor"/>
    </font>
    <font>
      <sz val="10"/>
      <color rgb="FF0000FF"/>
      <name val="Arial"/>
      <family val="2"/>
    </font>
    <font>
      <sz val="10"/>
      <name val="Arial"/>
      <family val="2"/>
    </font>
    <font>
      <b/>
      <sz val="9"/>
      <color indexed="81"/>
      <name val="Tahoma"/>
      <family val="2"/>
    </font>
    <font>
      <sz val="9"/>
      <color indexed="81"/>
      <name val="Tahoma"/>
      <family val="2"/>
    </font>
    <font>
      <sz val="10"/>
      <color rgb="FF000000"/>
      <name val="Arial"/>
      <family val="2"/>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6795556505021"/>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s>
  <cellStyleXfs count="2">
    <xf numFmtId="0" fontId="0" fillId="0" borderId="0"/>
    <xf numFmtId="0" fontId="2" fillId="0" borderId="0"/>
  </cellStyleXfs>
  <cellXfs count="68">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0" xfId="0" applyFont="1" applyAlignment="1">
      <alignment horizontal="left" vertical="center"/>
    </xf>
    <xf numFmtId="0" fontId="1" fillId="0" borderId="0" xfId="0" applyFont="1"/>
    <xf numFmtId="0" fontId="4" fillId="0" borderId="0" xfId="0" applyFont="1" applyAlignment="1">
      <alignment horizontal="left" vertical="center"/>
    </xf>
    <xf numFmtId="0" fontId="5" fillId="0" borderId="0" xfId="0" applyFont="1" applyAlignment="1">
      <alignment vertical="center"/>
    </xf>
    <xf numFmtId="0" fontId="5" fillId="2" borderId="0" xfId="0" applyFont="1" applyFill="1" applyAlignment="1">
      <alignment vertical="center"/>
    </xf>
    <xf numFmtId="0" fontId="0" fillId="2" borderId="0" xfId="0" applyFill="1"/>
    <xf numFmtId="164" fontId="1" fillId="0" borderId="8" xfId="0" applyNumberFormat="1" applyFont="1" applyBorder="1"/>
    <xf numFmtId="164" fontId="1" fillId="0" borderId="9" xfId="0" applyNumberFormat="1" applyFont="1" applyBorder="1"/>
    <xf numFmtId="164" fontId="0" fillId="0" borderId="0" xfId="0" applyNumberFormat="1"/>
    <xf numFmtId="0" fontId="9" fillId="0" borderId="0" xfId="0" applyFont="1"/>
    <xf numFmtId="0" fontId="1" fillId="0" borderId="1" xfId="0" applyFont="1" applyBorder="1"/>
    <xf numFmtId="0" fontId="1" fillId="0" borderId="8" xfId="0" applyFont="1" applyBorder="1"/>
    <xf numFmtId="0" fontId="1" fillId="0" borderId="9" xfId="0" applyFont="1" applyBorder="1"/>
    <xf numFmtId="0" fontId="3" fillId="0" borderId="0" xfId="0" applyFont="1" applyAlignment="1">
      <alignment horizontal="left" vertical="center" wrapText="1"/>
    </xf>
    <xf numFmtId="0" fontId="0" fillId="0" borderId="0" xfId="0" applyAlignment="1">
      <alignment wrapText="1"/>
    </xf>
    <xf numFmtId="0" fontId="3" fillId="0" borderId="0" xfId="0" applyFont="1" applyAlignment="1">
      <alignment vertical="center" wrapText="1"/>
    </xf>
    <xf numFmtId="0" fontId="2" fillId="0" borderId="0" xfId="1"/>
    <xf numFmtId="0" fontId="10" fillId="0" borderId="0" xfId="1" applyFont="1"/>
    <xf numFmtId="0" fontId="12" fillId="0" borderId="11" xfId="0" applyFont="1" applyBorder="1" applyAlignment="1">
      <alignment horizontal="center"/>
    </xf>
    <xf numFmtId="0" fontId="12" fillId="0" borderId="12"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4" fontId="0" fillId="0" borderId="11" xfId="0" applyNumberFormat="1" applyBorder="1"/>
    <xf numFmtId="0" fontId="2" fillId="0" borderId="11" xfId="0" applyFont="1" applyBorder="1"/>
    <xf numFmtId="164" fontId="0" fillId="0" borderId="12" xfId="0" applyNumberFormat="1" applyBorder="1"/>
    <xf numFmtId="0" fontId="2" fillId="0" borderId="12" xfId="0" applyFont="1" applyBorder="1"/>
    <xf numFmtId="0" fontId="2" fillId="2" borderId="0" xfId="1" applyFill="1"/>
    <xf numFmtId="0" fontId="3" fillId="0" borderId="0" xfId="1" applyFont="1"/>
    <xf numFmtId="0" fontId="2" fillId="3" borderId="0" xfId="1" applyFill="1"/>
    <xf numFmtId="166" fontId="0" fillId="0" borderId="11" xfId="0" applyNumberFormat="1" applyBorder="1"/>
    <xf numFmtId="0" fontId="3" fillId="0" borderId="14" xfId="1" applyFont="1" applyBorder="1" applyAlignment="1">
      <alignment horizontal="center"/>
    </xf>
    <xf numFmtId="0" fontId="3" fillId="0" borderId="15" xfId="1" applyFont="1" applyBorder="1" applyAlignment="1">
      <alignment horizontal="center"/>
    </xf>
    <xf numFmtId="0" fontId="2" fillId="0" borderId="17" xfId="1" applyBorder="1" applyAlignment="1">
      <alignment horizontal="center"/>
    </xf>
    <xf numFmtId="165" fontId="10" fillId="0" borderId="11" xfId="1" applyNumberFormat="1" applyFont="1" applyBorder="1" applyAlignment="1">
      <alignment horizontal="center"/>
    </xf>
    <xf numFmtId="0" fontId="10" fillId="0" borderId="11" xfId="1" applyFont="1" applyBorder="1"/>
    <xf numFmtId="0" fontId="10" fillId="0" borderId="11" xfId="1" applyFont="1" applyBorder="1" applyAlignment="1">
      <alignment horizontal="center"/>
    </xf>
    <xf numFmtId="0" fontId="2" fillId="0" borderId="11" xfId="1" applyBorder="1"/>
    <xf numFmtId="0" fontId="10" fillId="2" borderId="11" xfId="1" applyFont="1" applyFill="1" applyBorder="1"/>
    <xf numFmtId="0" fontId="10" fillId="0" borderId="11" xfId="1" quotePrefix="1" applyFont="1" applyBorder="1" applyAlignment="1">
      <alignment horizontal="center"/>
    </xf>
    <xf numFmtId="0" fontId="10" fillId="3" borderId="11" xfId="1" applyFont="1" applyFill="1" applyBorder="1"/>
    <xf numFmtId="0" fontId="2" fillId="0" borderId="18" xfId="1" applyBorder="1" applyAlignment="1">
      <alignment horizontal="center"/>
    </xf>
    <xf numFmtId="165" fontId="10" fillId="0" borderId="12" xfId="1" applyNumberFormat="1" applyFont="1" applyBorder="1" applyAlignment="1">
      <alignment horizontal="center"/>
    </xf>
    <xf numFmtId="0" fontId="10" fillId="0" borderId="12" xfId="1" applyFont="1" applyBorder="1"/>
    <xf numFmtId="0" fontId="10" fillId="0" borderId="12" xfId="1" applyFont="1" applyBorder="1" applyAlignment="1">
      <alignment horizontal="center"/>
    </xf>
    <xf numFmtId="0" fontId="2" fillId="0" borderId="12" xfId="1" applyBorder="1"/>
    <xf numFmtId="166" fontId="0" fillId="0" borderId="12" xfId="0" applyNumberFormat="1" applyBorder="1"/>
    <xf numFmtId="0" fontId="2" fillId="4" borderId="16" xfId="1" applyFill="1" applyBorder="1" applyAlignment="1">
      <alignment horizontal="center"/>
    </xf>
    <xf numFmtId="0" fontId="10" fillId="4" borderId="10" xfId="1" applyFont="1" applyFill="1" applyBorder="1" applyAlignment="1">
      <alignment horizontal="center"/>
    </xf>
    <xf numFmtId="0" fontId="10" fillId="4" borderId="10" xfId="1" applyFont="1" applyFill="1" applyBorder="1"/>
    <xf numFmtId="0" fontId="11" fillId="4" borderId="10" xfId="0" applyFont="1" applyFill="1" applyBorder="1" applyAlignment="1">
      <alignment horizontal="center" wrapText="1"/>
    </xf>
    <xf numFmtId="0" fontId="0" fillId="4" borderId="10" xfId="0" applyFill="1" applyBorder="1" applyAlignment="1">
      <alignment horizontal="right"/>
    </xf>
    <xf numFmtId="0" fontId="0" fillId="4" borderId="10" xfId="0" applyFill="1" applyBorder="1"/>
    <xf numFmtId="0" fontId="0" fillId="4" borderId="10" xfId="0" applyFill="1" applyBorder="1" applyAlignment="1">
      <alignment horizontal="center"/>
    </xf>
    <xf numFmtId="0" fontId="1" fillId="4" borderId="13" xfId="0" applyFont="1" applyFill="1" applyBorder="1" applyAlignment="1">
      <alignment horizontal="center"/>
    </xf>
  </cellXfs>
  <cellStyles count="2">
    <cellStyle name="Normal" xfId="0" builtinId="0"/>
    <cellStyle name="Normal 2" xfId="1" xr:uid="{C42C15FE-F377-4C3F-BF94-E6CC24187331}"/>
  </cellStyles>
  <dxfs count="24">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strike val="0"/>
        <color theme="1"/>
      </font>
      <fill>
        <patternFill>
          <bgColor theme="0" tint="-0.24994659260841701"/>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29633</xdr:colOff>
          <xdr:row>57</xdr:row>
          <xdr:rowOff>21167</xdr:rowOff>
        </xdr:from>
        <xdr:to>
          <xdr:col>2</xdr:col>
          <xdr:colOff>478367</xdr:colOff>
          <xdr:row>59</xdr:row>
          <xdr:rowOff>135467</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21167</xdr:colOff>
          <xdr:row>64</xdr:row>
          <xdr:rowOff>143933</xdr:rowOff>
        </xdr:from>
        <xdr:to>
          <xdr:col>2</xdr:col>
          <xdr:colOff>579967</xdr:colOff>
          <xdr:row>68</xdr:row>
          <xdr:rowOff>105833</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1534-6C26-48C8-8A84-83F381C7B422}">
  <dimension ref="A1:N68"/>
  <sheetViews>
    <sheetView tabSelected="1" zoomScale="150" zoomScaleNormal="150" workbookViewId="0"/>
  </sheetViews>
  <sheetFormatPr defaultRowHeight="14.35" x14ac:dyDescent="0.5"/>
  <cols>
    <col min="2" max="2" width="11.234375" bestFit="1" customWidth="1"/>
  </cols>
  <sheetData>
    <row r="1" spans="1:12" x14ac:dyDescent="0.5">
      <c r="A1" s="15" t="s">
        <v>0</v>
      </c>
    </row>
    <row r="3" spans="1:12" ht="14.7" thickBot="1" x14ac:dyDescent="0.55000000000000004">
      <c r="A3" t="s">
        <v>1</v>
      </c>
    </row>
    <row r="4" spans="1:12" x14ac:dyDescent="0.5">
      <c r="A4" s="8" t="s">
        <v>2</v>
      </c>
      <c r="B4" s="9" t="s">
        <v>3</v>
      </c>
      <c r="C4" s="9" t="s">
        <v>4</v>
      </c>
      <c r="D4" s="9" t="s">
        <v>5</v>
      </c>
      <c r="E4" s="9" t="s">
        <v>6</v>
      </c>
      <c r="F4" s="10" t="s">
        <v>7</v>
      </c>
    </row>
    <row r="5" spans="1:12" ht="14.7" thickBot="1" x14ac:dyDescent="0.55000000000000004">
      <c r="A5" s="11">
        <v>1</v>
      </c>
      <c r="B5" s="12">
        <v>2</v>
      </c>
      <c r="C5" s="12">
        <v>3</v>
      </c>
      <c r="D5" s="12">
        <v>4</v>
      </c>
      <c r="E5" s="12">
        <v>5</v>
      </c>
      <c r="F5" s="13">
        <v>6</v>
      </c>
    </row>
    <row r="7" spans="1:12" x14ac:dyDescent="0.5">
      <c r="A7" s="4" t="s">
        <v>8</v>
      </c>
    </row>
    <row r="8" spans="1:12" x14ac:dyDescent="0.5">
      <c r="A8" s="2" t="s">
        <v>9</v>
      </c>
    </row>
    <row r="9" spans="1:12" x14ac:dyDescent="0.5">
      <c r="A9" s="17" t="s">
        <v>41</v>
      </c>
    </row>
    <row r="10" spans="1:12" x14ac:dyDescent="0.5">
      <c r="A10" s="18" t="s">
        <v>38</v>
      </c>
      <c r="B10" s="19"/>
      <c r="C10" s="19"/>
      <c r="D10" s="19"/>
      <c r="E10" s="19"/>
      <c r="F10" s="19"/>
      <c r="G10" s="19"/>
      <c r="H10" s="19"/>
      <c r="I10" s="19"/>
      <c r="J10" s="19"/>
      <c r="K10" s="19"/>
      <c r="L10" s="19"/>
    </row>
    <row r="11" spans="1:12" x14ac:dyDescent="0.5">
      <c r="A11" s="18" t="s">
        <v>39</v>
      </c>
      <c r="B11" s="19"/>
      <c r="C11" s="19"/>
      <c r="D11" s="19"/>
      <c r="E11" s="19"/>
      <c r="F11" s="19"/>
    </row>
    <row r="12" spans="1:12" x14ac:dyDescent="0.5">
      <c r="A12" s="17" t="s">
        <v>40</v>
      </c>
    </row>
    <row r="13" spans="1:12" x14ac:dyDescent="0.5">
      <c r="A13" s="17" t="s">
        <v>42</v>
      </c>
    </row>
    <row r="14" spans="1:12" x14ac:dyDescent="0.5">
      <c r="A14" s="18" t="s">
        <v>43</v>
      </c>
      <c r="B14" s="19"/>
      <c r="C14" s="19"/>
      <c r="D14" s="19"/>
      <c r="E14" s="19"/>
      <c r="F14" s="19"/>
    </row>
    <row r="15" spans="1:12" x14ac:dyDescent="0.5">
      <c r="A15" s="1"/>
    </row>
    <row r="16" spans="1:12" x14ac:dyDescent="0.5">
      <c r="A16" s="4" t="s">
        <v>10</v>
      </c>
    </row>
    <row r="17" spans="1:10" x14ac:dyDescent="0.5">
      <c r="A17" s="2" t="s">
        <v>9</v>
      </c>
    </row>
    <row r="18" spans="1:10" x14ac:dyDescent="0.5">
      <c r="A18" s="18" t="s">
        <v>44</v>
      </c>
      <c r="B18" s="19"/>
      <c r="C18" s="19"/>
      <c r="D18" s="19"/>
      <c r="E18" s="19"/>
      <c r="F18" s="19"/>
      <c r="G18" s="19"/>
    </row>
    <row r="19" spans="1:10" x14ac:dyDescent="0.5">
      <c r="A19" s="17" t="s">
        <v>45</v>
      </c>
    </row>
    <row r="20" spans="1:10" x14ac:dyDescent="0.5">
      <c r="A20" s="18" t="s">
        <v>46</v>
      </c>
      <c r="B20" s="19"/>
      <c r="C20" s="19"/>
      <c r="D20" s="19"/>
      <c r="E20" s="19"/>
      <c r="F20" s="19"/>
      <c r="G20" s="19"/>
    </row>
    <row r="21" spans="1:10" x14ac:dyDescent="0.5">
      <c r="A21" s="18" t="s">
        <v>47</v>
      </c>
      <c r="B21" s="19"/>
      <c r="C21" s="19"/>
      <c r="D21" s="19"/>
      <c r="E21" s="19"/>
      <c r="F21" s="19"/>
      <c r="G21" s="19"/>
    </row>
    <row r="22" spans="1:10" x14ac:dyDescent="0.5">
      <c r="A22" s="18" t="s">
        <v>48</v>
      </c>
      <c r="B22" s="19"/>
      <c r="C22" s="19"/>
      <c r="D22" s="19"/>
      <c r="E22" s="19"/>
      <c r="F22" s="19"/>
      <c r="G22" s="19"/>
    </row>
    <row r="23" spans="1:10" x14ac:dyDescent="0.5">
      <c r="A23" s="17" t="s">
        <v>49</v>
      </c>
    </row>
    <row r="24" spans="1:10" x14ac:dyDescent="0.5">
      <c r="A24" s="1"/>
    </row>
    <row r="25" spans="1:10" x14ac:dyDescent="0.5">
      <c r="A25" s="4" t="s">
        <v>11</v>
      </c>
    </row>
    <row r="26" spans="1:10" x14ac:dyDescent="0.5">
      <c r="A26" s="5" t="s">
        <v>12</v>
      </c>
    </row>
    <row r="27" spans="1:10" ht="15" customHeight="1" x14ac:dyDescent="0.5">
      <c r="A27" s="17" t="s">
        <v>55</v>
      </c>
    </row>
    <row r="28" spans="1:10" x14ac:dyDescent="0.5">
      <c r="A28" s="18" t="s">
        <v>50</v>
      </c>
      <c r="B28" s="19"/>
      <c r="C28" s="19"/>
      <c r="D28" s="19"/>
      <c r="E28" s="19"/>
      <c r="F28" s="19"/>
      <c r="G28" s="19"/>
      <c r="H28" s="19"/>
      <c r="I28" s="19"/>
      <c r="J28" s="19"/>
    </row>
    <row r="29" spans="1:10" x14ac:dyDescent="0.5">
      <c r="A29" s="17" t="s">
        <v>51</v>
      </c>
    </row>
    <row r="30" spans="1:10" x14ac:dyDescent="0.5">
      <c r="A30" s="17" t="s">
        <v>52</v>
      </c>
    </row>
    <row r="31" spans="1:10" x14ac:dyDescent="0.5">
      <c r="A31" s="17" t="s">
        <v>53</v>
      </c>
    </row>
    <row r="32" spans="1:10" x14ac:dyDescent="0.5">
      <c r="A32" s="17" t="s">
        <v>54</v>
      </c>
    </row>
    <row r="33" spans="1:14" x14ac:dyDescent="0.5">
      <c r="A33" s="3"/>
    </row>
    <row r="34" spans="1:14" x14ac:dyDescent="0.5">
      <c r="A34" s="4" t="s">
        <v>13</v>
      </c>
    </row>
    <row r="35" spans="1:14" x14ac:dyDescent="0.5">
      <c r="A35" s="6" t="s">
        <v>14</v>
      </c>
    </row>
    <row r="36" spans="1:14" x14ac:dyDescent="0.5">
      <c r="A36" s="16" t="s">
        <v>15</v>
      </c>
    </row>
    <row r="37" spans="1:14" x14ac:dyDescent="0.5">
      <c r="A37" s="14" t="s">
        <v>24</v>
      </c>
      <c r="B37">
        <f>60+F</f>
        <v>66</v>
      </c>
      <c r="C37" t="s">
        <v>22</v>
      </c>
      <c r="D37" t="s">
        <v>25</v>
      </c>
      <c r="E37">
        <f>100+D*10</f>
        <v>140</v>
      </c>
      <c r="F37" t="s">
        <v>26</v>
      </c>
      <c r="H37" t="s">
        <v>27</v>
      </c>
      <c r="I37">
        <f>90+E</f>
        <v>95</v>
      </c>
      <c r="J37" t="s">
        <v>22</v>
      </c>
    </row>
    <row r="38" spans="1:14" ht="14.7" thickBot="1" x14ac:dyDescent="0.55000000000000004">
      <c r="A38" s="14" t="s">
        <v>56</v>
      </c>
      <c r="B38">
        <v>16</v>
      </c>
      <c r="C38" t="s">
        <v>57</v>
      </c>
      <c r="D38" t="s">
        <v>58</v>
      </c>
      <c r="J38">
        <f>SEL_1air+10*LOG10(N)-10*LOG10(B38*3600)</f>
        <v>68.857055522550269</v>
      </c>
      <c r="K38" t="s">
        <v>22</v>
      </c>
    </row>
    <row r="39" spans="1:14" ht="14.7" thickBot="1" x14ac:dyDescent="0.55000000000000004">
      <c r="A39" s="14" t="s">
        <v>59</v>
      </c>
      <c r="F39" s="20">
        <f>10*LOG10(10^(Lbgnd/10)+10^(Leq_air/10))</f>
        <v>70.669652743241997</v>
      </c>
      <c r="G39" s="21" t="s">
        <v>22</v>
      </c>
    </row>
    <row r="40" spans="1:14" x14ac:dyDescent="0.5">
      <c r="A40" s="14"/>
    </row>
    <row r="41" spans="1:14" ht="34.200000000000003" customHeight="1" x14ac:dyDescent="0.5">
      <c r="A41" s="27" t="s">
        <v>20</v>
      </c>
      <c r="B41" s="28"/>
      <c r="C41" s="28"/>
      <c r="D41" s="28"/>
      <c r="E41" s="28"/>
      <c r="F41" s="28"/>
      <c r="G41" s="28"/>
      <c r="H41" s="28"/>
      <c r="I41" s="28"/>
      <c r="J41" s="28"/>
      <c r="K41" s="28"/>
      <c r="L41" s="28"/>
      <c r="M41" s="28"/>
      <c r="N41" s="28"/>
    </row>
    <row r="42" spans="1:14" x14ac:dyDescent="0.5">
      <c r="A42" s="16" t="s">
        <v>15</v>
      </c>
      <c r="E42" t="s">
        <v>37</v>
      </c>
    </row>
    <row r="43" spans="1:14" x14ac:dyDescent="0.5">
      <c r="A43" s="14" t="s">
        <v>28</v>
      </c>
      <c r="B43">
        <v>4</v>
      </c>
      <c r="C43">
        <v>1</v>
      </c>
      <c r="D43">
        <v>2</v>
      </c>
      <c r="E43">
        <f>B43+C43+D43</f>
        <v>7</v>
      </c>
    </row>
    <row r="44" spans="1:14" x14ac:dyDescent="0.5">
      <c r="A44" t="s">
        <v>29</v>
      </c>
      <c r="B44">
        <f>70+E</f>
        <v>75</v>
      </c>
      <c r="C44">
        <f>80+D</f>
        <v>84</v>
      </c>
      <c r="D44">
        <f>75+F</f>
        <v>81</v>
      </c>
    </row>
    <row r="45" spans="1:14" ht="14.7" thickBot="1" x14ac:dyDescent="0.55000000000000004">
      <c r="A45" s="14" t="s">
        <v>60</v>
      </c>
      <c r="B45">
        <f>10^(B44/10)</f>
        <v>31622776.601683889</v>
      </c>
      <c r="C45">
        <f t="shared" ref="C45:D45" si="0">10^(C44/10)</f>
        <v>251188643.15095839</v>
      </c>
      <c r="D45">
        <f t="shared" si="0"/>
        <v>125892541.17941682</v>
      </c>
    </row>
    <row r="46" spans="1:14" ht="14.7" thickBot="1" x14ac:dyDescent="0.55000000000000004">
      <c r="A46" s="14" t="s">
        <v>61</v>
      </c>
      <c r="B46" s="20">
        <f>10*LOG10((B43*B45+C43*C45+D43*D45)/8)</f>
        <v>78.958814841775265</v>
      </c>
      <c r="C46" s="21" t="s">
        <v>22</v>
      </c>
      <c r="E46" t="s">
        <v>62</v>
      </c>
      <c r="F46" s="22">
        <f>10*LOG10((B43*B45+C43*C45+D43*D45)/E43)</f>
        <v>79.538734311552133</v>
      </c>
      <c r="G46" t="s">
        <v>22</v>
      </c>
    </row>
    <row r="47" spans="1:14" x14ac:dyDescent="0.5">
      <c r="A47" s="14"/>
    </row>
    <row r="48" spans="1:14" ht="43.2" customHeight="1" x14ac:dyDescent="0.5">
      <c r="A48" s="27" t="s">
        <v>21</v>
      </c>
      <c r="B48" s="28"/>
      <c r="C48" s="28"/>
      <c r="D48" s="28"/>
      <c r="E48" s="28"/>
      <c r="F48" s="28"/>
      <c r="G48" s="28"/>
      <c r="H48" s="28"/>
      <c r="I48" s="28"/>
      <c r="J48" s="28"/>
      <c r="K48" s="28"/>
      <c r="L48" s="28"/>
      <c r="M48" s="28"/>
      <c r="N48" s="28"/>
    </row>
    <row r="49" spans="1:14" x14ac:dyDescent="0.5">
      <c r="A49" s="16" t="s">
        <v>15</v>
      </c>
      <c r="I49" s="23" t="s">
        <v>67</v>
      </c>
      <c r="J49" s="23"/>
      <c r="K49" s="23"/>
      <c r="L49" s="23"/>
    </row>
    <row r="50" spans="1:14" x14ac:dyDescent="0.5">
      <c r="A50" s="14" t="s">
        <v>30</v>
      </c>
      <c r="C50">
        <f>85+F</f>
        <v>91</v>
      </c>
      <c r="D50" t="s">
        <v>22</v>
      </c>
      <c r="E50" t="s">
        <v>31</v>
      </c>
      <c r="G50">
        <f>130+E</f>
        <v>135</v>
      </c>
      <c r="I50" s="23" t="s">
        <v>65</v>
      </c>
      <c r="J50" s="23"/>
      <c r="K50" s="23">
        <f>SEL_1punch+10*LOG10(N_punches)-10*LOG(8*3600)</f>
        <v>67.709412807357751</v>
      </c>
      <c r="L50" s="23" t="s">
        <v>22</v>
      </c>
    </row>
    <row r="51" spans="1:14" ht="14.7" thickBot="1" x14ac:dyDescent="0.55000000000000004">
      <c r="A51" s="14" t="s">
        <v>63</v>
      </c>
      <c r="G51">
        <f>SEL_1punch+10*LOG10(N_punches)-10*LOG10(4*3600)</f>
        <v>70.719712763997563</v>
      </c>
      <c r="H51" t="s">
        <v>22</v>
      </c>
      <c r="I51" s="23"/>
      <c r="J51" s="23"/>
      <c r="K51" s="23"/>
      <c r="L51" s="23"/>
    </row>
    <row r="52" spans="1:14" ht="14.7" thickBot="1" x14ac:dyDescent="0.55000000000000004">
      <c r="A52" s="14" t="s">
        <v>64</v>
      </c>
      <c r="C52">
        <f>10*LOG10(10^(B44/10)+10^(G51/10))</f>
        <v>76.377418506942249</v>
      </c>
      <c r="D52" t="s">
        <v>22</v>
      </c>
      <c r="E52" t="s">
        <v>61</v>
      </c>
      <c r="F52" s="20">
        <f>10*LOG10((B43*10^(Leq_factpry/10)+C43*C45+D43*D45)/8)</f>
        <v>79.272898460920942</v>
      </c>
      <c r="G52" s="21" t="s">
        <v>22</v>
      </c>
      <c r="I52" s="23" t="s">
        <v>66</v>
      </c>
      <c r="J52" s="23">
        <f>10*LOG10(10^(B46/10)+10^(Lep_punches/10))</f>
        <v>79.272898460920956</v>
      </c>
      <c r="K52" s="23" t="s">
        <v>22</v>
      </c>
      <c r="L52" s="23"/>
    </row>
    <row r="53" spans="1:14" x14ac:dyDescent="0.5">
      <c r="A53" s="14"/>
    </row>
    <row r="54" spans="1:14" ht="31.2" customHeight="1" x14ac:dyDescent="0.5">
      <c r="A54" s="27" t="s">
        <v>23</v>
      </c>
      <c r="B54" s="28"/>
      <c r="C54" s="28"/>
      <c r="D54" s="28"/>
      <c r="E54" s="28"/>
      <c r="F54" s="28"/>
      <c r="G54" s="28"/>
      <c r="H54" s="28"/>
      <c r="I54" s="28"/>
      <c r="J54" s="28"/>
      <c r="K54" s="28"/>
      <c r="L54" s="28"/>
      <c r="M54" s="28"/>
      <c r="N54" s="28"/>
    </row>
    <row r="55" spans="1:14" x14ac:dyDescent="0.5">
      <c r="A55" s="4" t="s">
        <v>18</v>
      </c>
      <c r="C55">
        <f>70+F</f>
        <v>76</v>
      </c>
      <c r="D55" t="s">
        <v>22</v>
      </c>
      <c r="E55" t="s">
        <v>19</v>
      </c>
      <c r="G55">
        <f>Li+5</f>
        <v>81</v>
      </c>
      <c r="H55" t="s">
        <v>22</v>
      </c>
      <c r="I55" t="s">
        <v>17</v>
      </c>
      <c r="K55">
        <f>Li+2</f>
        <v>78</v>
      </c>
      <c r="L55" t="s">
        <v>22</v>
      </c>
    </row>
    <row r="56" spans="1:14" x14ac:dyDescent="0.5">
      <c r="A56" s="2" t="s">
        <v>15</v>
      </c>
    </row>
    <row r="57" spans="1:14" x14ac:dyDescent="0.5">
      <c r="A57" s="7" t="s">
        <v>68</v>
      </c>
      <c r="E57">
        <f>10*LOG10((10^(Lp/10)+10^(Lv/10))/2)</f>
        <v>79.754048667725044</v>
      </c>
      <c r="F57" t="s">
        <v>22</v>
      </c>
      <c r="H57" t="s">
        <v>69</v>
      </c>
      <c r="J57">
        <f>10^((Li-Ld)/10)</f>
        <v>0.42130356418332487</v>
      </c>
    </row>
    <row r="58" spans="1:14" ht="14.7" thickBot="1" x14ac:dyDescent="0.55000000000000004">
      <c r="A58" s="7"/>
    </row>
    <row r="59" spans="1:14" ht="14.7" thickBot="1" x14ac:dyDescent="0.55000000000000004">
      <c r="A59" s="7"/>
      <c r="D59" t="s">
        <v>70</v>
      </c>
      <c r="F59">
        <f>(1-rE)/(1+rE)</f>
        <v>0.4071589281837843</v>
      </c>
      <c r="H59" t="s">
        <v>71</v>
      </c>
      <c r="J59" s="24">
        <f>1-F59</f>
        <v>0.5928410718162157</v>
      </c>
    </row>
    <row r="60" spans="1:14" x14ac:dyDescent="0.5">
      <c r="A60" s="7"/>
    </row>
    <row r="61" spans="1:14" ht="30.6" customHeight="1" x14ac:dyDescent="0.5">
      <c r="A61" s="29" t="s">
        <v>16</v>
      </c>
      <c r="B61" s="28"/>
      <c r="C61" s="28"/>
      <c r="D61" s="28"/>
      <c r="E61" s="28"/>
      <c r="F61" s="28"/>
      <c r="G61" s="28"/>
      <c r="H61" s="28"/>
      <c r="I61" s="28"/>
      <c r="J61" s="28"/>
      <c r="K61" s="28"/>
      <c r="L61" s="28"/>
      <c r="M61" s="28"/>
      <c r="N61" s="28"/>
    </row>
    <row r="62" spans="1:14" x14ac:dyDescent="0.5">
      <c r="A62" s="2" t="s">
        <v>15</v>
      </c>
    </row>
    <row r="63" spans="1:14" x14ac:dyDescent="0.5">
      <c r="A63" t="s">
        <v>32</v>
      </c>
      <c r="B63">
        <f>200+E*10</f>
        <v>250</v>
      </c>
      <c r="C63" t="s">
        <v>33</v>
      </c>
      <c r="D63" t="s">
        <v>34</v>
      </c>
      <c r="E63">
        <f>8+F/10</f>
        <v>8.6</v>
      </c>
      <c r="F63" t="s">
        <v>35</v>
      </c>
      <c r="G63" t="s">
        <v>36</v>
      </c>
      <c r="H63">
        <f>3+D/10</f>
        <v>3.4</v>
      </c>
      <c r="I63" t="s">
        <v>35</v>
      </c>
    </row>
    <row r="64" spans="1:14" x14ac:dyDescent="0.5">
      <c r="A64" t="s">
        <v>72</v>
      </c>
      <c r="B64">
        <v>12</v>
      </c>
    </row>
    <row r="67" spans="4:9" ht="14.7" thickBot="1" x14ac:dyDescent="0.55000000000000004">
      <c r="D67" t="s">
        <v>74</v>
      </c>
      <c r="H67">
        <f>0.16*V*(1/Ts-1/Te)</f>
        <v>7.1135430916552682</v>
      </c>
      <c r="I67" t="s">
        <v>73</v>
      </c>
    </row>
    <row r="68" spans="4:9" ht="14.7" thickBot="1" x14ac:dyDescent="0.55000000000000004">
      <c r="E68" t="s">
        <v>75</v>
      </c>
      <c r="H68" s="25">
        <f>0.16*V*(1/Ts-1/Te)/Nseats</f>
        <v>0.59279525763793905</v>
      </c>
      <c r="I68" s="26" t="s">
        <v>73</v>
      </c>
    </row>
  </sheetData>
  <mergeCells count="4">
    <mergeCell ref="A41:N41"/>
    <mergeCell ref="A48:N48"/>
    <mergeCell ref="A54:N54"/>
    <mergeCell ref="A61:N61"/>
  </mergeCells>
  <pageMargins left="0.7" right="0.7" top="0.75" bottom="0.75" header="0.3" footer="0.3"/>
  <drawing r:id="rId1"/>
  <legacyDrawing r:id="rId2"/>
  <oleObjects>
    <mc:AlternateContent xmlns:mc="http://schemas.openxmlformats.org/markup-compatibility/2006">
      <mc:Choice Requires="x14">
        <oleObject shapeId="1025" r:id="rId3">
          <objectPr defaultSize="0" autoPict="0" r:id="rId4">
            <anchor moveWithCells="1">
              <from>
                <xdr:col>0</xdr:col>
                <xdr:colOff>29633</xdr:colOff>
                <xdr:row>57</xdr:row>
                <xdr:rowOff>21167</xdr:rowOff>
              </from>
              <to>
                <xdr:col>2</xdr:col>
                <xdr:colOff>478367</xdr:colOff>
                <xdr:row>59</xdr:row>
                <xdr:rowOff>135467</xdr:rowOff>
              </to>
            </anchor>
          </objectPr>
        </oleObject>
      </mc:Choice>
      <mc:Fallback>
        <oleObject shapeId="1025" r:id="rId3"/>
      </mc:Fallback>
    </mc:AlternateContent>
    <mc:AlternateContent xmlns:mc="http://schemas.openxmlformats.org/markup-compatibility/2006">
      <mc:Choice Requires="x14">
        <oleObject shapeId="1026" r:id="rId5">
          <objectPr defaultSize="0" autoPict="0" r:id="rId6">
            <anchor moveWithCells="1">
              <from>
                <xdr:col>0</xdr:col>
                <xdr:colOff>21167</xdr:colOff>
                <xdr:row>64</xdr:row>
                <xdr:rowOff>143933</xdr:rowOff>
              </from>
              <to>
                <xdr:col>2</xdr:col>
                <xdr:colOff>579967</xdr:colOff>
                <xdr:row>68</xdr:row>
                <xdr:rowOff>105833</xdr:rowOff>
              </to>
            </anchor>
          </objectPr>
        </oleObject>
      </mc:Choice>
      <mc:Fallback>
        <oleObject shapeId="1026"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505E-6027-4BD0-9370-F59A745EF0A0}">
  <sheetPr>
    <outlinePr summaryBelow="0" summaryRight="0"/>
  </sheetPr>
  <dimension ref="A1:AU14"/>
  <sheetViews>
    <sheetView workbookViewId="0">
      <pane ySplit="1" topLeftCell="A2" activePane="bottomLeft" state="frozen"/>
      <selection pane="bottomLeft" activeCell="C17" sqref="C17"/>
    </sheetView>
  </sheetViews>
  <sheetFormatPr defaultColWidth="12.64453125" defaultRowHeight="15.75" customHeight="1" x14ac:dyDescent="0.45"/>
  <cols>
    <col min="1" max="1" width="4.52734375" style="30" customWidth="1"/>
    <col min="2" max="2" width="16.1171875" style="30" customWidth="1"/>
    <col min="3" max="3" width="29.64453125" style="30" customWidth="1"/>
    <col min="4" max="4" width="17.9375" style="30" customWidth="1"/>
    <col min="5" max="5" width="7.64453125" style="30" customWidth="1"/>
    <col min="6" max="11" width="3.5859375" style="30" customWidth="1"/>
    <col min="12" max="12" width="18.87890625" style="30" customWidth="1"/>
    <col min="13" max="18" width="3" style="30" customWidth="1"/>
    <col min="19" max="19" width="18.87890625" style="30" customWidth="1"/>
    <col min="20" max="25" width="3.46875" style="30" customWidth="1"/>
    <col min="26" max="26" width="18.87890625" style="30" customWidth="1"/>
    <col min="27" max="27" width="5.52734375" style="30" customWidth="1"/>
    <col min="28" max="28" width="18.87890625" style="30" customWidth="1"/>
    <col min="29" max="29" width="8.3515625" style="30" customWidth="1"/>
    <col min="30" max="30" width="6.9375" style="30" customWidth="1"/>
    <col min="31" max="31" width="5.5859375" style="30" customWidth="1"/>
    <col min="32" max="32" width="18.87890625" style="30" customWidth="1"/>
    <col min="33" max="33" width="8.3515625" style="30" customWidth="1"/>
    <col min="34" max="34" width="6.87890625" style="30" customWidth="1"/>
    <col min="35" max="35" width="5.52734375" style="30" customWidth="1"/>
    <col min="36" max="36" width="18.87890625" style="30" customWidth="1"/>
    <col min="37" max="39" width="8.3515625" style="30" customWidth="1"/>
    <col min="40" max="40" width="18.87890625" style="30" customWidth="1"/>
    <col min="41" max="41" width="8.76171875" style="30" customWidth="1"/>
    <col min="42" max="42" width="7.1171875" style="30" customWidth="1"/>
    <col min="43" max="43" width="18.87890625" style="30" customWidth="1"/>
    <col min="44" max="44" width="8.41015625" style="30" customWidth="1"/>
    <col min="45" max="45" width="7.17578125" style="30" customWidth="1"/>
    <col min="46" max="46" width="6.76171875" style="30" customWidth="1"/>
    <col min="47" max="47" width="7.87890625" style="30" customWidth="1"/>
    <col min="48" max="49" width="18.87890625" style="30" customWidth="1"/>
    <col min="50" max="16384" width="12.64453125" style="30"/>
  </cols>
  <sheetData>
    <row r="1" spans="1:47" ht="15.75" customHeight="1" thickTop="1" x14ac:dyDescent="0.5">
      <c r="A1" s="60" t="s">
        <v>145</v>
      </c>
      <c r="B1" s="61" t="s">
        <v>144</v>
      </c>
      <c r="C1" s="62" t="s">
        <v>143</v>
      </c>
      <c r="D1" s="62" t="s">
        <v>142</v>
      </c>
      <c r="E1" s="61" t="s">
        <v>1</v>
      </c>
      <c r="F1" s="63" t="s">
        <v>2</v>
      </c>
      <c r="G1" s="63" t="s">
        <v>3</v>
      </c>
      <c r="H1" s="63" t="s">
        <v>4</v>
      </c>
      <c r="I1" s="63" t="s">
        <v>5</v>
      </c>
      <c r="J1" s="63" t="s">
        <v>6</v>
      </c>
      <c r="K1" s="63" t="s">
        <v>7</v>
      </c>
      <c r="L1" s="62" t="s">
        <v>141</v>
      </c>
      <c r="M1" s="61">
        <v>-1</v>
      </c>
      <c r="N1" s="61">
        <v>1</v>
      </c>
      <c r="O1" s="61">
        <v>1</v>
      </c>
      <c r="P1" s="61">
        <v>-1</v>
      </c>
      <c r="Q1" s="61">
        <v>-1</v>
      </c>
      <c r="R1" s="61">
        <v>1</v>
      </c>
      <c r="S1" s="62" t="s">
        <v>140</v>
      </c>
      <c r="T1" s="61">
        <v>1</v>
      </c>
      <c r="U1" s="61">
        <v>-1</v>
      </c>
      <c r="V1" s="61">
        <v>1</v>
      </c>
      <c r="W1" s="61">
        <v>1</v>
      </c>
      <c r="X1" s="61">
        <v>1</v>
      </c>
      <c r="Y1" s="61">
        <v>-1</v>
      </c>
      <c r="Z1" s="62" t="s">
        <v>139</v>
      </c>
      <c r="AA1" s="61" t="s">
        <v>146</v>
      </c>
      <c r="AB1" s="62" t="s">
        <v>138</v>
      </c>
      <c r="AC1" s="64" t="s">
        <v>147</v>
      </c>
      <c r="AD1" s="65" t="s">
        <v>148</v>
      </c>
      <c r="AE1" s="66" t="s">
        <v>146</v>
      </c>
      <c r="AF1" s="62" t="s">
        <v>137</v>
      </c>
      <c r="AG1" s="64" t="s">
        <v>147</v>
      </c>
      <c r="AH1" s="65" t="s">
        <v>148</v>
      </c>
      <c r="AI1" s="66" t="s">
        <v>146</v>
      </c>
      <c r="AJ1" s="62" t="s">
        <v>136</v>
      </c>
      <c r="AK1" s="64" t="s">
        <v>147</v>
      </c>
      <c r="AL1" s="65" t="s">
        <v>148</v>
      </c>
      <c r="AM1" s="66" t="s">
        <v>146</v>
      </c>
      <c r="AN1" s="62" t="s">
        <v>135</v>
      </c>
      <c r="AO1" s="64" t="s">
        <v>147</v>
      </c>
      <c r="AP1" s="66" t="s">
        <v>146</v>
      </c>
      <c r="AQ1" s="62" t="s">
        <v>134</v>
      </c>
      <c r="AR1" s="64" t="s">
        <v>147</v>
      </c>
      <c r="AS1" s="65" t="s">
        <v>148</v>
      </c>
      <c r="AT1" s="66" t="s">
        <v>146</v>
      </c>
      <c r="AU1" s="67" t="s">
        <v>153</v>
      </c>
    </row>
    <row r="2" spans="1:47" ht="15.75" customHeight="1" x14ac:dyDescent="0.5">
      <c r="A2" s="46">
        <v>1</v>
      </c>
      <c r="B2" s="47">
        <v>44893.397814490745</v>
      </c>
      <c r="C2" s="48" t="s">
        <v>133</v>
      </c>
      <c r="D2" s="48" t="s">
        <v>132</v>
      </c>
      <c r="E2" s="49">
        <v>340594</v>
      </c>
      <c r="F2" s="32">
        <f t="shared" ref="F2:F10" si="0">INT(E2/100000)</f>
        <v>3</v>
      </c>
      <c r="G2" s="32">
        <f t="shared" ref="G2:G10" si="1">INT(($E2-100000*F2)/10000)</f>
        <v>4</v>
      </c>
      <c r="H2" s="32">
        <f t="shared" ref="H2:H10" si="2">INT(($E2-100000*F2-10000*G2)/1000)</f>
        <v>0</v>
      </c>
      <c r="I2" s="32">
        <f t="shared" ref="I2:I10" si="3">INT(($E2-100000*$F2-10000*$G2-1000*$H2)/100)</f>
        <v>5</v>
      </c>
      <c r="J2" s="32">
        <f t="shared" ref="J2:J10" si="4">INT(($E2-100000*$F2-10000*$G2-1000*$H2-100*$I2)/10)</f>
        <v>9</v>
      </c>
      <c r="K2" s="32">
        <f t="shared" ref="K2:K10" si="5">INT(($E2-100000*$F2-10000*$G2-1000*$H2-100*$I2-10*$J2))</f>
        <v>4</v>
      </c>
      <c r="L2" s="48" t="s">
        <v>131</v>
      </c>
      <c r="M2" s="34">
        <f>IF(ISERROR(FIND("70 dB(A)",L2,1)),0,M$1)</f>
        <v>-1</v>
      </c>
      <c r="N2" s="34">
        <f>IF(ISERROR(FIND("set by the municipality",L2,1)),0,N$1)</f>
        <v>1</v>
      </c>
      <c r="O2" s="34">
        <f>IF(ISERROR(FIND("verified outdoors",L2,1)),0,O$1)</f>
        <v>1</v>
      </c>
      <c r="P2" s="34">
        <f>IF(ISERROR(FIND("verified indoors",L2,1)),0,P$1)</f>
        <v>0</v>
      </c>
      <c r="Q2" s="34">
        <f>IF(ISERROR(FIND("verified only outdoors",L2,1)),0,Q$1)</f>
        <v>0</v>
      </c>
      <c r="R2" s="34">
        <f>IF(ISERROR(FIND("verified only indoors",L2,1)),0,R$1)</f>
        <v>1</v>
      </c>
      <c r="S2" s="48" t="s">
        <v>94</v>
      </c>
      <c r="T2" s="34">
        <f>IF(ISERROR(FIND("D,2m,nT,w",S2,1)),0,T$1)</f>
        <v>1</v>
      </c>
      <c r="U2" s="34">
        <f>IF(ISERROR(FIND("facades R'w",S2,1)),0,U$1)</f>
        <v>0</v>
      </c>
      <c r="V2" s="34">
        <f>IF(ISERROR(FIND("R'w of internal horizontal partitions",S2,1)),0,V$1)</f>
        <v>0</v>
      </c>
      <c r="W2" s="34">
        <f>IF(ISERROR(FIND("R'w of internal vertical partitions",S2,1)),0,W$1)</f>
        <v>1</v>
      </c>
      <c r="X2" s="34">
        <f>IF(ISERROR(FIND("normalised to the reverberation time",S2,1)),0,X$1)</f>
        <v>0</v>
      </c>
      <c r="Y2" s="34">
        <f>IF(ISERROR(FIND("normalised to the absorption area",S2,1)),0,Y$1)</f>
        <v>-1</v>
      </c>
      <c r="Z2" s="50"/>
      <c r="AA2" s="34">
        <v>0</v>
      </c>
      <c r="AB2" s="51" t="s">
        <v>130</v>
      </c>
      <c r="AC2" s="36">
        <f>10*LOG10(10^((60+K2)/10)+10^((90+J2+10*LOG10(100+I2*10)-10*LOG10(16*3600))/10))</f>
        <v>73.654415118488984</v>
      </c>
      <c r="AD2" s="37" t="s">
        <v>22</v>
      </c>
      <c r="AE2" s="34">
        <v>1</v>
      </c>
      <c r="AF2" s="48" t="s">
        <v>129</v>
      </c>
      <c r="AG2" s="36">
        <f>10*LOG10((4*10^((70+J2)/10)+1*10^((80+I2)/10)+2*10^((75+K2)/10))/8)</f>
        <v>79.960871886452651</v>
      </c>
      <c r="AH2" s="37" t="s">
        <v>22</v>
      </c>
      <c r="AI2" s="34">
        <v>1</v>
      </c>
      <c r="AJ2" s="50"/>
      <c r="AK2" s="36">
        <f t="shared" ref="AK2:AK10" si="6">10*LOG10((4*10^((70+J2)/10)+4*10^((85+K2+10*LOG10(130+J2)-10*LOG10(4*3600))/10)+1*10^((80+I2)/10)+2*10^((75+K2)/10))/8)</f>
        <v>80.125707700330139</v>
      </c>
      <c r="AL2" s="37" t="s">
        <v>22</v>
      </c>
      <c r="AM2" s="34">
        <v>0</v>
      </c>
      <c r="AN2" s="50"/>
      <c r="AO2" s="43">
        <f>1-(1-10^((70+K2-10*LOG10((10^((75+K2)/10)+10^((72+K2)/10))/2))/10))/(1+10^((70+K2-10*LOG10((10^((75+K2)/10)+10^((72+K2)/10))/2))/10))</f>
        <v>0.59284107181621426</v>
      </c>
      <c r="AP2" s="34">
        <v>0</v>
      </c>
      <c r="AQ2" s="50"/>
      <c r="AR2" s="43">
        <f>0.16*(200+J2*10)*(1/(3+I2/10)-1/(8+K2/10))/Nseats</f>
        <v>0.64444444444444438</v>
      </c>
      <c r="AS2" s="37" t="s">
        <v>152</v>
      </c>
      <c r="AT2" s="34">
        <v>0</v>
      </c>
      <c r="AU2" s="44">
        <f>SUM(M2:R2)+SUM(T2:Y2)+AA2+AE2+AI2+AM2+AP2+AT2</f>
        <v>5</v>
      </c>
    </row>
    <row r="3" spans="1:47" ht="15.75" customHeight="1" x14ac:dyDescent="0.5">
      <c r="A3" s="46">
        <v>2</v>
      </c>
      <c r="B3" s="47">
        <v>44893.405369803237</v>
      </c>
      <c r="C3" s="48" t="s">
        <v>128</v>
      </c>
      <c r="D3" s="48" t="s">
        <v>127</v>
      </c>
      <c r="E3" s="52" t="s">
        <v>126</v>
      </c>
      <c r="F3" s="32">
        <f t="shared" si="0"/>
        <v>0</v>
      </c>
      <c r="G3" s="32">
        <f t="shared" si="1"/>
        <v>8</v>
      </c>
      <c r="H3" s="32">
        <f t="shared" si="2"/>
        <v>0</v>
      </c>
      <c r="I3" s="32">
        <f t="shared" si="3"/>
        <v>5</v>
      </c>
      <c r="J3" s="32">
        <f t="shared" si="4"/>
        <v>0</v>
      </c>
      <c r="K3" s="32">
        <f t="shared" si="5"/>
        <v>0</v>
      </c>
      <c r="L3" s="48" t="s">
        <v>81</v>
      </c>
      <c r="M3" s="34">
        <f t="shared" ref="M3:M10" si="7">IF(ISERROR(FIND("70 dB(A)",L3,1)),0,M$1)</f>
        <v>0</v>
      </c>
      <c r="N3" s="34">
        <f t="shared" ref="N3:N10" si="8">IF(ISERROR(FIND("set by the municipality",L3,1)),0,N$1)</f>
        <v>1</v>
      </c>
      <c r="O3" s="34">
        <f t="shared" ref="O3:O10" si="9">IF(ISERROR(FIND("verified outdoors",L3,1)),0,O$1)</f>
        <v>1</v>
      </c>
      <c r="P3" s="34">
        <f t="shared" ref="P3:P10" si="10">IF(ISERROR(FIND("verified indoors",L3,1)),0,P$1)</f>
        <v>0</v>
      </c>
      <c r="Q3" s="34">
        <f t="shared" ref="Q3:Q10" si="11">IF(ISERROR(FIND("verified only outdoors",L3,1)),0,Q$1)</f>
        <v>0</v>
      </c>
      <c r="R3" s="34">
        <f t="shared" ref="R3:R10" si="12">IF(ISERROR(FIND("verified only indoors",L3,1)),0,R$1)</f>
        <v>1</v>
      </c>
      <c r="S3" s="48" t="s">
        <v>101</v>
      </c>
      <c r="T3" s="34">
        <f t="shared" ref="T3:T10" si="13">IF(ISERROR(FIND("D,2m,nT,w",S3,1)),0,T$1)</f>
        <v>1</v>
      </c>
      <c r="U3" s="34">
        <f t="shared" ref="U3:U10" si="14">IF(ISERROR(FIND("facades R'w",S3,1)),0,U$1)</f>
        <v>0</v>
      </c>
      <c r="V3" s="34">
        <f t="shared" ref="V3:V10" si="15">IF(ISERROR(FIND("R'w of internal horizontal partitions",S3,1)),0,V$1)</f>
        <v>1</v>
      </c>
      <c r="W3" s="34">
        <f t="shared" ref="W3:W10" si="16">IF(ISERROR(FIND("R'w of internal vertical partitions",S3,1)),0,W$1)</f>
        <v>1</v>
      </c>
      <c r="X3" s="34">
        <f t="shared" ref="X3:X10" si="17">IF(ISERROR(FIND("normalised to the reverberation time",S3,1)),0,X$1)</f>
        <v>1</v>
      </c>
      <c r="Y3" s="34">
        <f t="shared" ref="Y3:Y10" si="18">IF(ISERROR(FIND("normalised to the absorption area",S3,1)),0,Y$1)</f>
        <v>0</v>
      </c>
      <c r="Z3" s="50"/>
      <c r="AA3" s="34">
        <v>0</v>
      </c>
      <c r="AB3" s="50"/>
      <c r="AC3" s="36">
        <f t="shared" ref="AC3:AC10" si="19">10*LOG10(10^((60+K3)/10)+10^((90+J3+10*LOG10(100+I3*10)-10*LOG10(16*3600))/10))</f>
        <v>65.568048657532088</v>
      </c>
      <c r="AD3" s="37" t="s">
        <v>22</v>
      </c>
      <c r="AE3" s="34">
        <v>0</v>
      </c>
      <c r="AF3" s="53" t="s">
        <v>125</v>
      </c>
      <c r="AG3" s="36">
        <f t="shared" ref="AG3:AG10" si="20">10*LOG10((4*10^((70+J3)/10)+1*10^((80+I3)/10)+2*10^((75+K3)/10))/8)</f>
        <v>77.196143555650579</v>
      </c>
      <c r="AH3" s="37" t="s">
        <v>22</v>
      </c>
      <c r="AI3" s="34">
        <v>1</v>
      </c>
      <c r="AJ3" s="50"/>
      <c r="AK3" s="36">
        <f t="shared" si="6"/>
        <v>77.31279104388905</v>
      </c>
      <c r="AL3" s="37" t="s">
        <v>22</v>
      </c>
      <c r="AM3" s="34">
        <v>0</v>
      </c>
      <c r="AN3" s="50"/>
      <c r="AO3" s="43">
        <f t="shared" ref="AO3:AO10" si="21">1-(1-10^((70+K3-10*LOG10((10^((75+K3)/10)+10^((72+K3)/10))/2))/10))/(1+10^((70+K3-10*LOG10((10^((75+K3)/10)+10^((72+K3)/10))/2))/10))</f>
        <v>0.5928410718162157</v>
      </c>
      <c r="AP3" s="34">
        <v>0</v>
      </c>
      <c r="AQ3" s="48" t="s">
        <v>124</v>
      </c>
      <c r="AR3" s="43">
        <f>0.16*(200+J3*10)*(1/(3+I3/10)-1/(8+K3/10))/Nseats</f>
        <v>0.42857142857142855</v>
      </c>
      <c r="AS3" s="37" t="s">
        <v>152</v>
      </c>
      <c r="AT3" s="34">
        <v>1</v>
      </c>
      <c r="AU3" s="44">
        <f t="shared" ref="AU3:AU10" si="22">SUM(M3:R3)+SUM(T3:Y3)+AA3+AE3+AI3+AM3+AP3+AT3</f>
        <v>9</v>
      </c>
    </row>
    <row r="4" spans="1:47" ht="15.75" customHeight="1" x14ac:dyDescent="0.5">
      <c r="A4" s="46">
        <v>3</v>
      </c>
      <c r="B4" s="47">
        <v>44893.406303379626</v>
      </c>
      <c r="C4" s="48" t="s">
        <v>123</v>
      </c>
      <c r="D4" s="48" t="s">
        <v>122</v>
      </c>
      <c r="E4" s="49">
        <v>333808</v>
      </c>
      <c r="F4" s="32">
        <f t="shared" si="0"/>
        <v>3</v>
      </c>
      <c r="G4" s="32">
        <f t="shared" si="1"/>
        <v>3</v>
      </c>
      <c r="H4" s="32">
        <f t="shared" si="2"/>
        <v>3</v>
      </c>
      <c r="I4" s="32">
        <f t="shared" si="3"/>
        <v>8</v>
      </c>
      <c r="J4" s="32">
        <f t="shared" si="4"/>
        <v>0</v>
      </c>
      <c r="K4" s="32">
        <f t="shared" si="5"/>
        <v>8</v>
      </c>
      <c r="L4" s="48" t="s">
        <v>81</v>
      </c>
      <c r="M4" s="34">
        <f t="shared" si="7"/>
        <v>0</v>
      </c>
      <c r="N4" s="34">
        <f t="shared" si="8"/>
        <v>1</v>
      </c>
      <c r="O4" s="34">
        <f t="shared" si="9"/>
        <v>1</v>
      </c>
      <c r="P4" s="34">
        <f t="shared" si="10"/>
        <v>0</v>
      </c>
      <c r="Q4" s="34">
        <f t="shared" si="11"/>
        <v>0</v>
      </c>
      <c r="R4" s="34">
        <f t="shared" si="12"/>
        <v>1</v>
      </c>
      <c r="S4" s="48" t="s">
        <v>121</v>
      </c>
      <c r="T4" s="34">
        <f t="shared" si="13"/>
        <v>1</v>
      </c>
      <c r="U4" s="34">
        <f t="shared" si="14"/>
        <v>0</v>
      </c>
      <c r="V4" s="34">
        <f t="shared" si="15"/>
        <v>0</v>
      </c>
      <c r="W4" s="34">
        <f t="shared" si="16"/>
        <v>0</v>
      </c>
      <c r="X4" s="34">
        <f t="shared" si="17"/>
        <v>0</v>
      </c>
      <c r="Y4" s="34">
        <f t="shared" si="18"/>
        <v>-1</v>
      </c>
      <c r="Z4" s="48" t="s">
        <v>100</v>
      </c>
      <c r="AA4" s="34">
        <v>-1</v>
      </c>
      <c r="AB4" s="51" t="s">
        <v>120</v>
      </c>
      <c r="AC4" s="36">
        <f t="shared" si="19"/>
        <v>69.747222696565984</v>
      </c>
      <c r="AD4" s="37" t="s">
        <v>22</v>
      </c>
      <c r="AE4" s="34">
        <v>1</v>
      </c>
      <c r="AF4" s="51" t="s">
        <v>119</v>
      </c>
      <c r="AG4" s="36">
        <f t="shared" si="20"/>
        <v>81.262977713589748</v>
      </c>
      <c r="AH4" s="37" t="s">
        <v>22</v>
      </c>
      <c r="AI4" s="34">
        <v>1</v>
      </c>
      <c r="AJ4" s="51" t="s">
        <v>118</v>
      </c>
      <c r="AK4" s="36">
        <f t="shared" si="6"/>
        <v>81.545992938679106</v>
      </c>
      <c r="AL4" s="37" t="s">
        <v>22</v>
      </c>
      <c r="AM4" s="34">
        <v>1</v>
      </c>
      <c r="AN4" s="51" t="s">
        <v>117</v>
      </c>
      <c r="AO4" s="43">
        <f t="shared" si="21"/>
        <v>0.5928410718162157</v>
      </c>
      <c r="AP4" s="34">
        <v>-1</v>
      </c>
      <c r="AQ4" s="51" t="s">
        <v>116</v>
      </c>
      <c r="AR4" s="43">
        <f>0.16*(200+J4*10)*(1/(3+I4/10)-1/(8+K4/10))/Nseats</f>
        <v>0.3987240829346092</v>
      </c>
      <c r="AS4" s="37" t="s">
        <v>152</v>
      </c>
      <c r="AT4" s="34">
        <v>1</v>
      </c>
      <c r="AU4" s="44">
        <f t="shared" si="22"/>
        <v>5</v>
      </c>
    </row>
    <row r="5" spans="1:47" ht="15.75" customHeight="1" x14ac:dyDescent="0.5">
      <c r="A5" s="46">
        <v>4</v>
      </c>
      <c r="B5" s="47">
        <v>44893.406434756944</v>
      </c>
      <c r="C5" s="48" t="s">
        <v>115</v>
      </c>
      <c r="D5" s="48" t="s">
        <v>114</v>
      </c>
      <c r="E5" s="49">
        <v>353151</v>
      </c>
      <c r="F5" s="32">
        <f t="shared" si="0"/>
        <v>3</v>
      </c>
      <c r="G5" s="32">
        <f t="shared" si="1"/>
        <v>5</v>
      </c>
      <c r="H5" s="32">
        <f t="shared" si="2"/>
        <v>3</v>
      </c>
      <c r="I5" s="32">
        <f t="shared" si="3"/>
        <v>1</v>
      </c>
      <c r="J5" s="32">
        <f t="shared" si="4"/>
        <v>5</v>
      </c>
      <c r="K5" s="32">
        <f t="shared" si="5"/>
        <v>1</v>
      </c>
      <c r="L5" s="48" t="s">
        <v>81</v>
      </c>
      <c r="M5" s="34">
        <f t="shared" si="7"/>
        <v>0</v>
      </c>
      <c r="N5" s="34">
        <f t="shared" si="8"/>
        <v>1</v>
      </c>
      <c r="O5" s="34">
        <f t="shared" si="9"/>
        <v>1</v>
      </c>
      <c r="P5" s="34">
        <f t="shared" si="10"/>
        <v>0</v>
      </c>
      <c r="Q5" s="34">
        <f t="shared" si="11"/>
        <v>0</v>
      </c>
      <c r="R5" s="34">
        <f t="shared" si="12"/>
        <v>1</v>
      </c>
      <c r="S5" s="48" t="s">
        <v>101</v>
      </c>
      <c r="T5" s="34">
        <f t="shared" si="13"/>
        <v>1</v>
      </c>
      <c r="U5" s="34">
        <f t="shared" si="14"/>
        <v>0</v>
      </c>
      <c r="V5" s="34">
        <f t="shared" si="15"/>
        <v>1</v>
      </c>
      <c r="W5" s="34">
        <f t="shared" si="16"/>
        <v>1</v>
      </c>
      <c r="X5" s="34">
        <f t="shared" si="17"/>
        <v>1</v>
      </c>
      <c r="Y5" s="34">
        <f t="shared" si="18"/>
        <v>0</v>
      </c>
      <c r="Z5" s="50"/>
      <c r="AA5" s="34">
        <v>0</v>
      </c>
      <c r="AB5" s="50"/>
      <c r="AC5" s="36">
        <f t="shared" si="19"/>
        <v>68.632037002745449</v>
      </c>
      <c r="AD5" s="37" t="s">
        <v>22</v>
      </c>
      <c r="AE5" s="34">
        <v>0</v>
      </c>
      <c r="AF5" s="48" t="s">
        <v>113</v>
      </c>
      <c r="AG5" s="36">
        <f t="shared" si="20"/>
        <v>76.180547441097175</v>
      </c>
      <c r="AH5" s="37" t="s">
        <v>22</v>
      </c>
      <c r="AI5" s="34">
        <v>1</v>
      </c>
      <c r="AJ5" s="50"/>
      <c r="AK5" s="36">
        <f t="shared" si="6"/>
        <v>76.371570023033982</v>
      </c>
      <c r="AL5" s="37" t="s">
        <v>22</v>
      </c>
      <c r="AM5" s="34">
        <v>0</v>
      </c>
      <c r="AN5" s="50"/>
      <c r="AO5" s="43">
        <f t="shared" si="21"/>
        <v>0.5928410718162157</v>
      </c>
      <c r="AP5" s="34">
        <v>0</v>
      </c>
      <c r="AQ5" s="51" t="s">
        <v>112</v>
      </c>
      <c r="AR5" s="43">
        <f>0.16*(200+J5*10)*(1/(3+I5/10)-1/(8+K5/10))/Nseats</f>
        <v>0.66374618345944514</v>
      </c>
      <c r="AS5" s="37" t="s">
        <v>152</v>
      </c>
      <c r="AT5" s="34">
        <v>1</v>
      </c>
      <c r="AU5" s="44">
        <f t="shared" si="22"/>
        <v>9</v>
      </c>
    </row>
    <row r="6" spans="1:47" ht="15.75" customHeight="1" x14ac:dyDescent="0.5">
      <c r="A6" s="46">
        <v>5</v>
      </c>
      <c r="B6" s="47">
        <v>44893.406585798613</v>
      </c>
      <c r="C6" s="48" t="s">
        <v>111</v>
      </c>
      <c r="D6" s="48" t="s">
        <v>110</v>
      </c>
      <c r="E6" s="49">
        <v>350971</v>
      </c>
      <c r="F6" s="32">
        <f t="shared" si="0"/>
        <v>3</v>
      </c>
      <c r="G6" s="32">
        <f t="shared" si="1"/>
        <v>5</v>
      </c>
      <c r="H6" s="32">
        <f t="shared" si="2"/>
        <v>0</v>
      </c>
      <c r="I6" s="32">
        <f t="shared" si="3"/>
        <v>9</v>
      </c>
      <c r="J6" s="32">
        <f t="shared" si="4"/>
        <v>7</v>
      </c>
      <c r="K6" s="32">
        <f t="shared" si="5"/>
        <v>1</v>
      </c>
      <c r="L6" s="48" t="s">
        <v>81</v>
      </c>
      <c r="M6" s="34">
        <f t="shared" si="7"/>
        <v>0</v>
      </c>
      <c r="N6" s="34">
        <f t="shared" si="8"/>
        <v>1</v>
      </c>
      <c r="O6" s="34">
        <f t="shared" si="9"/>
        <v>1</v>
      </c>
      <c r="P6" s="34">
        <f t="shared" si="10"/>
        <v>0</v>
      </c>
      <c r="Q6" s="34">
        <f t="shared" si="11"/>
        <v>0</v>
      </c>
      <c r="R6" s="34">
        <f t="shared" si="12"/>
        <v>1</v>
      </c>
      <c r="S6" s="48" t="s">
        <v>101</v>
      </c>
      <c r="T6" s="34">
        <f t="shared" si="13"/>
        <v>1</v>
      </c>
      <c r="U6" s="34">
        <f t="shared" si="14"/>
        <v>0</v>
      </c>
      <c r="V6" s="34">
        <f t="shared" si="15"/>
        <v>1</v>
      </c>
      <c r="W6" s="34">
        <f t="shared" si="16"/>
        <v>1</v>
      </c>
      <c r="X6" s="34">
        <f t="shared" si="17"/>
        <v>1</v>
      </c>
      <c r="Y6" s="34">
        <f t="shared" si="18"/>
        <v>0</v>
      </c>
      <c r="Z6" s="48" t="s">
        <v>109</v>
      </c>
      <c r="AA6" s="34">
        <v>-1</v>
      </c>
      <c r="AB6" s="48" t="s">
        <v>108</v>
      </c>
      <c r="AC6" s="36">
        <f t="shared" si="19"/>
        <v>72.502038550066857</v>
      </c>
      <c r="AD6" s="37" t="s">
        <v>22</v>
      </c>
      <c r="AE6" s="34">
        <v>-1</v>
      </c>
      <c r="AF6" s="48" t="s">
        <v>107</v>
      </c>
      <c r="AG6" s="36">
        <f t="shared" si="20"/>
        <v>81.280859411341794</v>
      </c>
      <c r="AH6" s="37" t="s">
        <v>22</v>
      </c>
      <c r="AI6" s="34">
        <v>1</v>
      </c>
      <c r="AJ6" s="48" t="s">
        <v>106</v>
      </c>
      <c r="AK6" s="36">
        <f t="shared" si="6"/>
        <v>81.341670440056362</v>
      </c>
      <c r="AL6" s="37" t="s">
        <v>22</v>
      </c>
      <c r="AM6" s="34">
        <v>1</v>
      </c>
      <c r="AN6" s="50"/>
      <c r="AO6" s="43">
        <f t="shared" si="21"/>
        <v>0.5928410718162157</v>
      </c>
      <c r="AP6" s="34">
        <v>0</v>
      </c>
      <c r="AQ6" s="48" t="s">
        <v>105</v>
      </c>
      <c r="AR6" s="43">
        <f>0.16*(200+J6*10)*(1/(3+I6/10)-1/(8+K6/10))/Nseats</f>
        <v>0.47863247863247876</v>
      </c>
      <c r="AS6" s="37" t="s">
        <v>152</v>
      </c>
      <c r="AT6" s="34">
        <v>1</v>
      </c>
      <c r="AU6" s="44">
        <f>SUM(M6:R6)+SUM(T6:Y6)+AA6+AE6+AI6+AM6+AP6+AT6</f>
        <v>8</v>
      </c>
    </row>
    <row r="7" spans="1:47" ht="15.75" customHeight="1" x14ac:dyDescent="0.5">
      <c r="A7" s="46">
        <v>6</v>
      </c>
      <c r="B7" s="47">
        <v>44893.407069212961</v>
      </c>
      <c r="C7" s="48" t="s">
        <v>104</v>
      </c>
      <c r="D7" s="48" t="s">
        <v>103</v>
      </c>
      <c r="E7" s="49">
        <v>354607</v>
      </c>
      <c r="F7" s="32">
        <f t="shared" si="0"/>
        <v>3</v>
      </c>
      <c r="G7" s="32">
        <f t="shared" si="1"/>
        <v>5</v>
      </c>
      <c r="H7" s="32">
        <f t="shared" si="2"/>
        <v>4</v>
      </c>
      <c r="I7" s="32">
        <f t="shared" si="3"/>
        <v>6</v>
      </c>
      <c r="J7" s="32">
        <f t="shared" si="4"/>
        <v>0</v>
      </c>
      <c r="K7" s="32">
        <f t="shared" si="5"/>
        <v>7</v>
      </c>
      <c r="L7" s="48" t="s">
        <v>102</v>
      </c>
      <c r="M7" s="34">
        <f t="shared" si="7"/>
        <v>0</v>
      </c>
      <c r="N7" s="34">
        <f t="shared" si="8"/>
        <v>1</v>
      </c>
      <c r="O7" s="34">
        <f t="shared" si="9"/>
        <v>0</v>
      </c>
      <c r="P7" s="34">
        <f t="shared" si="10"/>
        <v>-1</v>
      </c>
      <c r="Q7" s="34">
        <f t="shared" si="11"/>
        <v>0</v>
      </c>
      <c r="R7" s="34">
        <f t="shared" si="12"/>
        <v>1</v>
      </c>
      <c r="S7" s="48" t="s">
        <v>101</v>
      </c>
      <c r="T7" s="34">
        <f t="shared" si="13"/>
        <v>1</v>
      </c>
      <c r="U7" s="34">
        <f t="shared" si="14"/>
        <v>0</v>
      </c>
      <c r="V7" s="34">
        <f t="shared" si="15"/>
        <v>1</v>
      </c>
      <c r="W7" s="34">
        <f t="shared" si="16"/>
        <v>1</v>
      </c>
      <c r="X7" s="34">
        <f t="shared" si="17"/>
        <v>1</v>
      </c>
      <c r="Y7" s="34">
        <f t="shared" si="18"/>
        <v>0</v>
      </c>
      <c r="Z7" s="48" t="s">
        <v>100</v>
      </c>
      <c r="AA7" s="34">
        <v>-1</v>
      </c>
      <c r="AB7" s="51" t="s">
        <v>99</v>
      </c>
      <c r="AC7" s="36">
        <f t="shared" si="19"/>
        <v>68.915179510037916</v>
      </c>
      <c r="AD7" s="37" t="s">
        <v>22</v>
      </c>
      <c r="AE7" s="34">
        <v>1</v>
      </c>
      <c r="AF7" s="51" t="s">
        <v>98</v>
      </c>
      <c r="AG7" s="36">
        <f t="shared" si="20"/>
        <v>79.749063212961445</v>
      </c>
      <c r="AH7" s="37" t="s">
        <v>22</v>
      </c>
      <c r="AI7" s="34">
        <v>1</v>
      </c>
      <c r="AJ7" s="50"/>
      <c r="AK7" s="36">
        <f t="shared" si="6"/>
        <v>80.066361235963953</v>
      </c>
      <c r="AL7" s="37" t="s">
        <v>22</v>
      </c>
      <c r="AM7" s="34">
        <v>0</v>
      </c>
      <c r="AN7" s="50"/>
      <c r="AO7" s="43">
        <f t="shared" si="21"/>
        <v>0.5928410718162157</v>
      </c>
      <c r="AP7" s="34">
        <v>0</v>
      </c>
      <c r="AQ7" s="51" t="s">
        <v>97</v>
      </c>
      <c r="AR7" s="43">
        <f>0.16*(200+J7*10)*(1/(3+I7/10)-1/(8+K7/10))/Nseats</f>
        <v>0.4342273307790549</v>
      </c>
      <c r="AS7" s="37" t="s">
        <v>152</v>
      </c>
      <c r="AT7" s="34">
        <v>1</v>
      </c>
      <c r="AU7" s="44">
        <f t="shared" si="22"/>
        <v>7</v>
      </c>
    </row>
    <row r="8" spans="1:47" ht="15.75" customHeight="1" x14ac:dyDescent="0.5">
      <c r="A8" s="46">
        <v>7</v>
      </c>
      <c r="B8" s="47">
        <v>44893.40860461806</v>
      </c>
      <c r="C8" s="48" t="s">
        <v>96</v>
      </c>
      <c r="D8" s="48" t="s">
        <v>95</v>
      </c>
      <c r="E8" s="49">
        <v>336706</v>
      </c>
      <c r="F8" s="32">
        <f t="shared" si="0"/>
        <v>3</v>
      </c>
      <c r="G8" s="32">
        <f t="shared" si="1"/>
        <v>3</v>
      </c>
      <c r="H8" s="32">
        <f t="shared" si="2"/>
        <v>6</v>
      </c>
      <c r="I8" s="32">
        <f t="shared" si="3"/>
        <v>7</v>
      </c>
      <c r="J8" s="32">
        <f t="shared" si="4"/>
        <v>0</v>
      </c>
      <c r="K8" s="32">
        <f t="shared" si="5"/>
        <v>6</v>
      </c>
      <c r="L8" s="48" t="s">
        <v>81</v>
      </c>
      <c r="M8" s="34">
        <f t="shared" si="7"/>
        <v>0</v>
      </c>
      <c r="N8" s="34">
        <f t="shared" si="8"/>
        <v>1</v>
      </c>
      <c r="O8" s="34">
        <f t="shared" si="9"/>
        <v>1</v>
      </c>
      <c r="P8" s="34">
        <f t="shared" si="10"/>
        <v>0</v>
      </c>
      <c r="Q8" s="34">
        <f t="shared" si="11"/>
        <v>0</v>
      </c>
      <c r="R8" s="34">
        <f t="shared" si="12"/>
        <v>1</v>
      </c>
      <c r="S8" s="48" t="s">
        <v>94</v>
      </c>
      <c r="T8" s="34">
        <f t="shared" si="13"/>
        <v>1</v>
      </c>
      <c r="U8" s="34">
        <f t="shared" si="14"/>
        <v>0</v>
      </c>
      <c r="V8" s="34">
        <f t="shared" si="15"/>
        <v>0</v>
      </c>
      <c r="W8" s="34">
        <f t="shared" si="16"/>
        <v>1</v>
      </c>
      <c r="X8" s="34">
        <f t="shared" si="17"/>
        <v>0</v>
      </c>
      <c r="Y8" s="34">
        <f t="shared" si="18"/>
        <v>-1</v>
      </c>
      <c r="Z8" s="48" t="s">
        <v>88</v>
      </c>
      <c r="AA8" s="34">
        <v>1</v>
      </c>
      <c r="AB8" s="48" t="s">
        <v>93</v>
      </c>
      <c r="AC8" s="36">
        <f t="shared" si="19"/>
        <v>68.40887409634982</v>
      </c>
      <c r="AD8" s="37" t="s">
        <v>22</v>
      </c>
      <c r="AE8" s="34">
        <v>1</v>
      </c>
      <c r="AF8" s="48" t="s">
        <v>92</v>
      </c>
      <c r="AG8" s="36">
        <f t="shared" si="20"/>
        <v>79.961680386303996</v>
      </c>
      <c r="AH8" s="37" t="s">
        <v>22</v>
      </c>
      <c r="AI8" s="34">
        <v>1</v>
      </c>
      <c r="AJ8" s="48" t="s">
        <v>91</v>
      </c>
      <c r="AK8" s="36">
        <f>10*LOG10((4*10^((70+J8)/10)+4*10^((85+K8+10*LOG10(130+J8)-10*LOG10(4*3600))/10)+1*10^((80+I8)/10)+2*10^((75+K8)/10))/8)</f>
        <v>80.203786413433903</v>
      </c>
      <c r="AL8" s="37" t="s">
        <v>22</v>
      </c>
      <c r="AM8" s="34">
        <v>-1</v>
      </c>
      <c r="AN8" s="48">
        <v>0.57899999999999996</v>
      </c>
      <c r="AO8" s="43">
        <f t="shared" si="21"/>
        <v>0.5928410718162157</v>
      </c>
      <c r="AP8" s="34">
        <v>1</v>
      </c>
      <c r="AQ8" s="50"/>
      <c r="AR8" s="43">
        <f>0.16*(200+J8*10)*(1/(3+I8/10)-1/(8+K8/10))/Nseats</f>
        <v>0.41064320134087567</v>
      </c>
      <c r="AS8" s="37" t="s">
        <v>152</v>
      </c>
      <c r="AT8" s="34">
        <v>0</v>
      </c>
      <c r="AU8" s="44">
        <f t="shared" si="22"/>
        <v>7</v>
      </c>
    </row>
    <row r="9" spans="1:47" ht="15.75" customHeight="1" x14ac:dyDescent="0.5">
      <c r="A9" s="46">
        <v>8</v>
      </c>
      <c r="B9" s="47">
        <v>44893.409512094906</v>
      </c>
      <c r="C9" s="48" t="s">
        <v>90</v>
      </c>
      <c r="D9" s="48" t="s">
        <v>89</v>
      </c>
      <c r="E9" s="49">
        <v>330937</v>
      </c>
      <c r="F9" s="32">
        <f t="shared" si="0"/>
        <v>3</v>
      </c>
      <c r="G9" s="32">
        <f t="shared" si="1"/>
        <v>3</v>
      </c>
      <c r="H9" s="32">
        <f t="shared" si="2"/>
        <v>0</v>
      </c>
      <c r="I9" s="32">
        <f t="shared" si="3"/>
        <v>9</v>
      </c>
      <c r="J9" s="32">
        <f t="shared" si="4"/>
        <v>3</v>
      </c>
      <c r="K9" s="32">
        <f t="shared" si="5"/>
        <v>7</v>
      </c>
      <c r="L9" s="48" t="s">
        <v>81</v>
      </c>
      <c r="M9" s="34">
        <f t="shared" si="7"/>
        <v>0</v>
      </c>
      <c r="N9" s="34">
        <f t="shared" si="8"/>
        <v>1</v>
      </c>
      <c r="O9" s="34">
        <f t="shared" si="9"/>
        <v>1</v>
      </c>
      <c r="P9" s="34">
        <f t="shared" si="10"/>
        <v>0</v>
      </c>
      <c r="Q9" s="34">
        <f t="shared" si="11"/>
        <v>0</v>
      </c>
      <c r="R9" s="34">
        <f t="shared" si="12"/>
        <v>1</v>
      </c>
      <c r="S9" s="48" t="s">
        <v>80</v>
      </c>
      <c r="T9" s="34">
        <f t="shared" si="13"/>
        <v>1</v>
      </c>
      <c r="U9" s="34">
        <f t="shared" si="14"/>
        <v>0</v>
      </c>
      <c r="V9" s="34">
        <f t="shared" si="15"/>
        <v>0</v>
      </c>
      <c r="W9" s="34">
        <f t="shared" si="16"/>
        <v>1</v>
      </c>
      <c r="X9" s="34">
        <f t="shared" si="17"/>
        <v>1</v>
      </c>
      <c r="Y9" s="34">
        <f t="shared" si="18"/>
        <v>0</v>
      </c>
      <c r="Z9" s="48" t="s">
        <v>88</v>
      </c>
      <c r="AA9" s="34">
        <v>1</v>
      </c>
      <c r="AB9" s="48" t="s">
        <v>87</v>
      </c>
      <c r="AC9" s="36">
        <f t="shared" si="19"/>
        <v>70.642133218504227</v>
      </c>
      <c r="AD9" s="37" t="s">
        <v>22</v>
      </c>
      <c r="AE9" s="34">
        <v>1</v>
      </c>
      <c r="AF9" s="48" t="s">
        <v>86</v>
      </c>
      <c r="AG9" s="36">
        <f t="shared" si="20"/>
        <v>81.728645694653437</v>
      </c>
      <c r="AH9" s="37" t="s">
        <v>22</v>
      </c>
      <c r="AI9" s="34">
        <v>1</v>
      </c>
      <c r="AJ9" s="48" t="s">
        <v>85</v>
      </c>
      <c r="AK9" s="36">
        <f t="shared" ref="AK9:AK10" si="23">10*LOG10((4*10^((70+J9)/10)+4*10^((85+K9+10*LOG10(130+J9)-10*LOG10(4*3600))/10)+1*10^((80+I9)/10)+2*10^((75+K9)/10))/8)</f>
        <v>81.937054837451683</v>
      </c>
      <c r="AL9" s="37" t="s">
        <v>22</v>
      </c>
      <c r="AM9" s="34">
        <v>1</v>
      </c>
      <c r="AN9" s="50"/>
      <c r="AO9" s="43">
        <f t="shared" si="21"/>
        <v>0.5928410718162157</v>
      </c>
      <c r="AP9" s="34">
        <v>0</v>
      </c>
      <c r="AQ9" s="48" t="s">
        <v>84</v>
      </c>
      <c r="AR9" s="43">
        <f>0.16*(200+J9*10)*(1/(3+I9/10)-1/(8+K9/10))/Nseats</f>
        <v>0.43383436486884769</v>
      </c>
      <c r="AS9" s="37" t="s">
        <v>152</v>
      </c>
      <c r="AT9" s="34">
        <v>1</v>
      </c>
      <c r="AU9" s="44">
        <f>SUM(M9:R9)+SUM(T9:Y9)+AA9+AE9+AI9+AM9+AP9+AT9</f>
        <v>11</v>
      </c>
    </row>
    <row r="10" spans="1:47" ht="15.75" customHeight="1" thickBot="1" x14ac:dyDescent="0.55000000000000004">
      <c r="A10" s="54">
        <v>9</v>
      </c>
      <c r="B10" s="55">
        <v>44893.410430694443</v>
      </c>
      <c r="C10" s="56" t="s">
        <v>83</v>
      </c>
      <c r="D10" s="56" t="s">
        <v>82</v>
      </c>
      <c r="E10" s="57">
        <v>342593</v>
      </c>
      <c r="F10" s="33">
        <f t="shared" si="0"/>
        <v>3</v>
      </c>
      <c r="G10" s="33">
        <f t="shared" si="1"/>
        <v>4</v>
      </c>
      <c r="H10" s="33">
        <f t="shared" si="2"/>
        <v>2</v>
      </c>
      <c r="I10" s="33">
        <f t="shared" si="3"/>
        <v>5</v>
      </c>
      <c r="J10" s="33">
        <f t="shared" si="4"/>
        <v>9</v>
      </c>
      <c r="K10" s="33">
        <f t="shared" si="5"/>
        <v>3</v>
      </c>
      <c r="L10" s="56" t="s">
        <v>81</v>
      </c>
      <c r="M10" s="35">
        <f t="shared" si="7"/>
        <v>0</v>
      </c>
      <c r="N10" s="35">
        <f t="shared" si="8"/>
        <v>1</v>
      </c>
      <c r="O10" s="35">
        <f t="shared" si="9"/>
        <v>1</v>
      </c>
      <c r="P10" s="35">
        <f t="shared" si="10"/>
        <v>0</v>
      </c>
      <c r="Q10" s="35">
        <f t="shared" si="11"/>
        <v>0</v>
      </c>
      <c r="R10" s="35">
        <f t="shared" si="12"/>
        <v>1</v>
      </c>
      <c r="S10" s="56" t="s">
        <v>80</v>
      </c>
      <c r="T10" s="35">
        <f t="shared" si="13"/>
        <v>1</v>
      </c>
      <c r="U10" s="35">
        <f t="shared" si="14"/>
        <v>0</v>
      </c>
      <c r="V10" s="35">
        <f t="shared" si="15"/>
        <v>0</v>
      </c>
      <c r="W10" s="35">
        <f t="shared" si="16"/>
        <v>1</v>
      </c>
      <c r="X10" s="35">
        <f t="shared" si="17"/>
        <v>1</v>
      </c>
      <c r="Y10" s="35">
        <f t="shared" si="18"/>
        <v>0</v>
      </c>
      <c r="Z10" s="56" t="s">
        <v>79</v>
      </c>
      <c r="AA10" s="35">
        <v>-1</v>
      </c>
      <c r="AB10" s="56" t="s">
        <v>78</v>
      </c>
      <c r="AC10" s="38">
        <f t="shared" si="19"/>
        <v>73.556601579380626</v>
      </c>
      <c r="AD10" s="39" t="s">
        <v>22</v>
      </c>
      <c r="AE10" s="35">
        <v>-1</v>
      </c>
      <c r="AF10" s="56" t="s">
        <v>77</v>
      </c>
      <c r="AG10" s="38">
        <f t="shared" si="20"/>
        <v>79.778096149665842</v>
      </c>
      <c r="AH10" s="39" t="s">
        <v>22</v>
      </c>
      <c r="AI10" s="35">
        <v>1</v>
      </c>
      <c r="AJ10" s="56" t="s">
        <v>76</v>
      </c>
      <c r="AK10" s="38">
        <f t="shared" si="23"/>
        <v>79.915098768905594</v>
      </c>
      <c r="AL10" s="39" t="s">
        <v>22</v>
      </c>
      <c r="AM10" s="35">
        <v>1</v>
      </c>
      <c r="AN10" s="58"/>
      <c r="AO10" s="59">
        <f t="shared" si="21"/>
        <v>0.5928410718162157</v>
      </c>
      <c r="AP10" s="35">
        <v>0</v>
      </c>
      <c r="AQ10" s="58"/>
      <c r="AR10" s="59">
        <f>0.16*(200+J10*10)*(1/(3+I10/10)-1/(8+K10/10))/Nseats</f>
        <v>0.63889845094664366</v>
      </c>
      <c r="AS10" s="39" t="s">
        <v>152</v>
      </c>
      <c r="AT10" s="35">
        <v>0</v>
      </c>
      <c r="AU10" s="45">
        <f t="shared" si="22"/>
        <v>6</v>
      </c>
    </row>
    <row r="11" spans="1:47" ht="15.75" customHeight="1" thickTop="1" x14ac:dyDescent="0.45"/>
    <row r="12" spans="1:47" ht="15.75" customHeight="1" x14ac:dyDescent="0.45">
      <c r="A12" s="41" t="s">
        <v>149</v>
      </c>
      <c r="S12" s="31"/>
    </row>
    <row r="13" spans="1:47" ht="15.75" customHeight="1" x14ac:dyDescent="0.45">
      <c r="A13" s="40" t="s">
        <v>150</v>
      </c>
      <c r="B13" s="40"/>
      <c r="C13" s="40"/>
      <c r="AA13" s="31"/>
      <c r="AG13" s="31"/>
    </row>
    <row r="14" spans="1:47" ht="15.75" customHeight="1" x14ac:dyDescent="0.45">
      <c r="A14" s="42" t="s">
        <v>151</v>
      </c>
      <c r="B14" s="42"/>
      <c r="C14" s="42"/>
    </row>
  </sheetData>
  <phoneticPr fontId="16" type="noConversion"/>
  <conditionalFormatting sqref="M2:R10">
    <cfRule type="aboveAverage" dxfId="23" priority="23" aboveAverage="0"/>
    <cfRule type="aboveAverage" dxfId="22" priority="24"/>
  </conditionalFormatting>
  <conditionalFormatting sqref="M2:R10">
    <cfRule type="cellIs" dxfId="21" priority="22" operator="equal">
      <formula>0</formula>
    </cfRule>
  </conditionalFormatting>
  <conditionalFormatting sqref="T2:Y10">
    <cfRule type="aboveAverage" dxfId="20" priority="20" aboveAverage="0"/>
    <cfRule type="aboveAverage" dxfId="19" priority="21"/>
  </conditionalFormatting>
  <conditionalFormatting sqref="T2:Y10">
    <cfRule type="cellIs" dxfId="18" priority="19" operator="equal">
      <formula>0</formula>
    </cfRule>
  </conditionalFormatting>
  <conditionalFormatting sqref="AA2:AA10">
    <cfRule type="cellIs" dxfId="17" priority="17" operator="equal">
      <formula>-1</formula>
    </cfRule>
    <cfRule type="cellIs" dxfId="16" priority="18" operator="equal">
      <formula>1</formula>
    </cfRule>
  </conditionalFormatting>
  <conditionalFormatting sqref="AA2:AA10">
    <cfRule type="cellIs" dxfId="15" priority="16" operator="equal">
      <formula>0</formula>
    </cfRule>
  </conditionalFormatting>
  <conditionalFormatting sqref="AE2:AE10">
    <cfRule type="cellIs" dxfId="14" priority="14" operator="equal">
      <formula>-1</formula>
    </cfRule>
    <cfRule type="cellIs" dxfId="13" priority="15" operator="equal">
      <formula>1</formula>
    </cfRule>
  </conditionalFormatting>
  <conditionalFormatting sqref="AE2:AE10">
    <cfRule type="cellIs" dxfId="12" priority="13" operator="equal">
      <formula>0</formula>
    </cfRule>
  </conditionalFormatting>
  <conditionalFormatting sqref="AI2:AI10">
    <cfRule type="cellIs" dxfId="11" priority="11" operator="equal">
      <formula>-1</formula>
    </cfRule>
    <cfRule type="cellIs" dxfId="10" priority="12" operator="equal">
      <formula>1</formula>
    </cfRule>
  </conditionalFormatting>
  <conditionalFormatting sqref="AI2:AI10">
    <cfRule type="cellIs" dxfId="9" priority="10" operator="equal">
      <formula>0</formula>
    </cfRule>
  </conditionalFormatting>
  <conditionalFormatting sqref="AM2:AM10">
    <cfRule type="cellIs" dxfId="8" priority="8" operator="equal">
      <formula>-1</formula>
    </cfRule>
    <cfRule type="cellIs" dxfId="7" priority="9" operator="equal">
      <formula>1</formula>
    </cfRule>
  </conditionalFormatting>
  <conditionalFormatting sqref="AM2:AM10">
    <cfRule type="cellIs" dxfId="6" priority="7" operator="equal">
      <formula>0</formula>
    </cfRule>
  </conditionalFormatting>
  <conditionalFormatting sqref="AP2:AP10">
    <cfRule type="cellIs" dxfId="5" priority="5" operator="equal">
      <formula>-1</formula>
    </cfRule>
    <cfRule type="cellIs" dxfId="4" priority="6" operator="equal">
      <formula>1</formula>
    </cfRule>
  </conditionalFormatting>
  <conditionalFormatting sqref="AP2:AP10">
    <cfRule type="cellIs" dxfId="3" priority="4" operator="equal">
      <formula>0</formula>
    </cfRule>
  </conditionalFormatting>
  <conditionalFormatting sqref="AT2:AT10">
    <cfRule type="cellIs" dxfId="2" priority="2" operator="equal">
      <formula>-1</formula>
    </cfRule>
    <cfRule type="cellIs" dxfId="1" priority="3" operator="equal">
      <formula>1</formula>
    </cfRule>
  </conditionalFormatting>
  <conditionalFormatting sqref="AT2:AT10">
    <cfRule type="cellIs" dxfId="0" priority="1" operator="equal">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vt:i4>
      </vt:variant>
    </vt:vector>
  </HeadingPairs>
  <TitlesOfParts>
    <vt:vector size="25" baseType="lpstr">
      <vt:lpstr>Solution</vt:lpstr>
      <vt:lpstr>Test-2022-11-28</vt:lpstr>
      <vt:lpstr>A</vt:lpstr>
      <vt:lpstr>B</vt:lpstr>
      <vt:lpstr>CC</vt:lpstr>
      <vt:lpstr>D</vt:lpstr>
      <vt:lpstr>E</vt:lpstr>
      <vt:lpstr>F</vt:lpstr>
      <vt:lpstr>Lbgnd</vt:lpstr>
      <vt:lpstr>Ld</vt:lpstr>
      <vt:lpstr>Lep_punches</vt:lpstr>
      <vt:lpstr>Leq_air</vt:lpstr>
      <vt:lpstr>Leq_factpry</vt:lpstr>
      <vt:lpstr>Li</vt:lpstr>
      <vt:lpstr>Lp</vt:lpstr>
      <vt:lpstr>Lv</vt:lpstr>
      <vt:lpstr>N</vt:lpstr>
      <vt:lpstr>N_punches</vt:lpstr>
      <vt:lpstr>Nseats</vt:lpstr>
      <vt:lpstr>rE</vt:lpstr>
      <vt:lpstr>SEL_1air</vt:lpstr>
      <vt:lpstr>SEL_1punch</vt:lpstr>
      <vt:lpstr>Te</vt:lpstr>
      <vt:lpstr>Ts</vt:lpstr>
      <vt:lpstr>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Farina</dc:creator>
  <cp:lastModifiedBy>Angelo Farina</cp:lastModifiedBy>
  <dcterms:created xsi:type="dcterms:W3CDTF">2022-11-28T07:53:01Z</dcterms:created>
  <dcterms:modified xsi:type="dcterms:W3CDTF">2022-12-08T11:08:30Z</dcterms:modified>
</cp:coreProperties>
</file>